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anayot\Desktop\Accessible versions\"/>
    </mc:Choice>
  </mc:AlternateContent>
  <xr:revisionPtr revIDLastSave="0" documentId="8_{1213D4E4-DAB8-4E51-8F19-429D04A4DB3C}" xr6:coauthVersionLast="47" xr6:coauthVersionMax="47" xr10:uidLastSave="{00000000-0000-0000-0000-000000000000}"/>
  <bookViews>
    <workbookView xWindow="-110" yWindow="-110" windowWidth="19420" windowHeight="10420" tabRatio="762" xr2:uid="{2079E64E-03B2-466C-AA0F-729D6BFB8725}"/>
  </bookViews>
  <sheets>
    <sheet name="Findings" sheetId="16" r:id="rId1"/>
    <sheet name="Risk Criteria" sheetId="13" r:id="rId2"/>
    <sheet name="Risk Scores" sheetId="12" r:id="rId3"/>
    <sheet name="Availability Criteria" sheetId="9" r:id="rId4"/>
    <sheet name="Availability Scores" sheetId="1" r:id="rId5"/>
    <sheet name="Harm Criteria" sheetId="14" r:id="rId6"/>
    <sheet name="Harm Scores" sheetId="1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6" i="12" l="1"/>
  <c r="AA7" i="12"/>
  <c r="AA8" i="12"/>
  <c r="AA9" i="12"/>
  <c r="B8" i="16" s="1"/>
  <c r="AA10" i="12"/>
  <c r="AA11" i="12"/>
  <c r="AA12" i="12"/>
  <c r="B11" i="16" s="1"/>
  <c r="AA13" i="12"/>
  <c r="B12" i="16" s="1"/>
  <c r="AA14" i="12"/>
  <c r="AA15" i="12"/>
  <c r="AA16" i="12"/>
  <c r="AA17" i="12"/>
  <c r="B16" i="16" s="1"/>
  <c r="AA18" i="12"/>
  <c r="AA19" i="12"/>
  <c r="AA20" i="12"/>
  <c r="AA21" i="12"/>
  <c r="B20" i="16" s="1"/>
  <c r="AA22" i="12"/>
  <c r="AA23" i="12"/>
  <c r="AA24" i="12"/>
  <c r="AA25" i="12"/>
  <c r="B24" i="16" s="1"/>
  <c r="AA26" i="12"/>
  <c r="AA27" i="12"/>
  <c r="AA28" i="12"/>
  <c r="AA29" i="12"/>
  <c r="B28" i="16" s="1"/>
  <c r="AA30" i="12"/>
  <c r="AA31" i="12"/>
  <c r="AA32" i="12"/>
  <c r="AA33" i="12"/>
  <c r="B32" i="16" s="1"/>
  <c r="AA34" i="12"/>
  <c r="AA35" i="12"/>
  <c r="AA36" i="12"/>
  <c r="AA37" i="12"/>
  <c r="B36" i="16" s="1"/>
  <c r="AA38" i="12"/>
  <c r="AA39" i="12"/>
  <c r="AA40" i="12"/>
  <c r="AA41" i="12"/>
  <c r="B40" i="16" s="1"/>
  <c r="AA42" i="12"/>
  <c r="AA43" i="12"/>
  <c r="AA44" i="12"/>
  <c r="B43" i="16" s="1"/>
  <c r="AA45" i="12"/>
  <c r="B44" i="16" s="1"/>
  <c r="AA46" i="12"/>
  <c r="AA47" i="12"/>
  <c r="AA48" i="12"/>
  <c r="AA49" i="12"/>
  <c r="B48" i="16" s="1"/>
  <c r="AA50" i="12"/>
  <c r="AA51" i="12"/>
  <c r="AA52" i="12"/>
  <c r="B13" i="16"/>
  <c r="B10" i="16"/>
  <c r="C14" i="16"/>
  <c r="C22" i="16"/>
  <c r="C30" i="16"/>
  <c r="C38" i="16"/>
  <c r="C46" i="16"/>
  <c r="C48" i="16"/>
  <c r="B6" i="16"/>
  <c r="B7" i="16"/>
  <c r="B9" i="16"/>
  <c r="B14" i="16"/>
  <c r="B15" i="16"/>
  <c r="B17" i="16"/>
  <c r="B18" i="16"/>
  <c r="B19" i="16"/>
  <c r="B21" i="16"/>
  <c r="B22" i="16"/>
  <c r="B23" i="16"/>
  <c r="B25" i="16"/>
  <c r="B26" i="16"/>
  <c r="B27" i="16"/>
  <c r="B29" i="16"/>
  <c r="B30" i="16"/>
  <c r="B31" i="16"/>
  <c r="B33" i="16"/>
  <c r="B34" i="16"/>
  <c r="B35" i="16"/>
  <c r="B37" i="16"/>
  <c r="B38" i="16"/>
  <c r="B39" i="16"/>
  <c r="B41" i="16"/>
  <c r="B42" i="16"/>
  <c r="B45" i="16"/>
  <c r="B46" i="16"/>
  <c r="B47" i="16"/>
  <c r="B49" i="16"/>
  <c r="B50" i="16"/>
  <c r="B51" i="16"/>
  <c r="B5" i="16"/>
  <c r="AG12" i="15"/>
  <c r="F6" i="15"/>
  <c r="K6" i="15"/>
  <c r="AG6" i="15" s="1"/>
  <c r="T6" i="15"/>
  <c r="F7" i="15"/>
  <c r="T7" i="15"/>
  <c r="AG7" i="15"/>
  <c r="F8" i="15"/>
  <c r="T8" i="15"/>
  <c r="AG8" i="15"/>
  <c r="F9" i="15"/>
  <c r="T9" i="15"/>
  <c r="AG9" i="15"/>
  <c r="AH9" i="15" s="1"/>
  <c r="D8" i="16" s="1"/>
  <c r="F10" i="15"/>
  <c r="T10" i="15"/>
  <c r="AG10" i="15"/>
  <c r="F11" i="15"/>
  <c r="T11" i="15"/>
  <c r="AG11" i="15"/>
  <c r="AH11" i="15" s="1"/>
  <c r="D10" i="16" s="1"/>
  <c r="F12" i="15"/>
  <c r="T12" i="15"/>
  <c r="F13" i="15"/>
  <c r="T13" i="15"/>
  <c r="AG13" i="15"/>
  <c r="F14" i="15"/>
  <c r="T14" i="15"/>
  <c r="AG14" i="15"/>
  <c r="AH14" i="15" s="1"/>
  <c r="D13" i="16" s="1"/>
  <c r="F15" i="15"/>
  <c r="T15" i="15"/>
  <c r="AG15" i="15"/>
  <c r="F16" i="15"/>
  <c r="T16" i="15"/>
  <c r="AG16" i="15"/>
  <c r="F17" i="15"/>
  <c r="T17" i="15"/>
  <c r="AG17" i="15"/>
  <c r="AH17" i="15" s="1"/>
  <c r="D16" i="16" s="1"/>
  <c r="F18" i="15"/>
  <c r="T18" i="15"/>
  <c r="AG18" i="15"/>
  <c r="F19" i="15"/>
  <c r="T19" i="15"/>
  <c r="AG19" i="15"/>
  <c r="F20" i="15"/>
  <c r="T20" i="15"/>
  <c r="AG20" i="15"/>
  <c r="F21" i="15"/>
  <c r="T21" i="15"/>
  <c r="AG21" i="15"/>
  <c r="F22" i="15"/>
  <c r="T22" i="15"/>
  <c r="AG22" i="15"/>
  <c r="F23" i="15"/>
  <c r="T23" i="15"/>
  <c r="AG23" i="15"/>
  <c r="F24" i="15"/>
  <c r="T24" i="15"/>
  <c r="AG24" i="15"/>
  <c r="F25" i="15"/>
  <c r="T25" i="15"/>
  <c r="AG25" i="15"/>
  <c r="AH25" i="15" s="1"/>
  <c r="D24" i="16" s="1"/>
  <c r="F26" i="15"/>
  <c r="T26" i="15"/>
  <c r="AG26" i="15"/>
  <c r="F27" i="15"/>
  <c r="T27" i="15"/>
  <c r="AG27" i="15"/>
  <c r="AH27" i="15" s="1"/>
  <c r="D26" i="16" s="1"/>
  <c r="F28" i="15"/>
  <c r="T28" i="15"/>
  <c r="AG28" i="15"/>
  <c r="F29" i="15"/>
  <c r="T29" i="15"/>
  <c r="AG29" i="15"/>
  <c r="F30" i="15"/>
  <c r="T30" i="15"/>
  <c r="AG30" i="15"/>
  <c r="F31" i="15"/>
  <c r="T31" i="15"/>
  <c r="AG31" i="15"/>
  <c r="F32" i="15"/>
  <c r="T32" i="15"/>
  <c r="AG32" i="15"/>
  <c r="F33" i="15"/>
  <c r="T33" i="15"/>
  <c r="AG33" i="15"/>
  <c r="AH33" i="15" s="1"/>
  <c r="D32" i="16" s="1"/>
  <c r="F34" i="15"/>
  <c r="T34" i="15"/>
  <c r="AG34" i="15"/>
  <c r="F35" i="15"/>
  <c r="T35" i="15"/>
  <c r="AG35" i="15"/>
  <c r="F36" i="15"/>
  <c r="T36" i="15"/>
  <c r="AG36" i="15"/>
  <c r="F37" i="15"/>
  <c r="T37" i="15"/>
  <c r="AG37" i="15"/>
  <c r="F38" i="15"/>
  <c r="T38" i="15"/>
  <c r="AG38" i="15"/>
  <c r="F39" i="15"/>
  <c r="T39" i="15"/>
  <c r="AG39" i="15"/>
  <c r="F40" i="15"/>
  <c r="T40" i="15"/>
  <c r="AG40" i="15"/>
  <c r="F41" i="15"/>
  <c r="T41" i="15"/>
  <c r="AG41" i="15"/>
  <c r="AH41" i="15" s="1"/>
  <c r="D40" i="16" s="1"/>
  <c r="F42" i="15"/>
  <c r="T42" i="15"/>
  <c r="AG42" i="15"/>
  <c r="F43" i="15"/>
  <c r="T43" i="15"/>
  <c r="AG43" i="15"/>
  <c r="AH43" i="15" s="1"/>
  <c r="D42" i="16" s="1"/>
  <c r="F44" i="15"/>
  <c r="T44" i="15"/>
  <c r="AG44" i="15"/>
  <c r="F45" i="15"/>
  <c r="T45" i="15"/>
  <c r="AG45" i="15"/>
  <c r="F46" i="15"/>
  <c r="T46" i="15"/>
  <c r="AG46" i="15"/>
  <c r="F47" i="15"/>
  <c r="T47" i="15"/>
  <c r="AG47" i="15"/>
  <c r="F48" i="15"/>
  <c r="T48" i="15"/>
  <c r="AG48" i="15"/>
  <c r="F49" i="15"/>
  <c r="T49" i="15"/>
  <c r="AG49" i="15"/>
  <c r="AH49" i="15" s="1"/>
  <c r="D48" i="16" s="1"/>
  <c r="F50" i="15"/>
  <c r="T50" i="15"/>
  <c r="AG50" i="15"/>
  <c r="F51" i="15"/>
  <c r="T51" i="15"/>
  <c r="AG51" i="15"/>
  <c r="F52" i="15"/>
  <c r="T52" i="15"/>
  <c r="AG52" i="15"/>
  <c r="E62" i="14"/>
  <c r="E58" i="13"/>
  <c r="F6" i="12"/>
  <c r="H6" i="12"/>
  <c r="Q6" i="12"/>
  <c r="W6" i="12"/>
  <c r="F7" i="12"/>
  <c r="H7" i="12"/>
  <c r="W7" i="12"/>
  <c r="F8" i="12"/>
  <c r="H8" i="12"/>
  <c r="W8" i="12"/>
  <c r="F9" i="12"/>
  <c r="H9" i="12"/>
  <c r="W9" i="12"/>
  <c r="F10" i="12"/>
  <c r="H10" i="12"/>
  <c r="W10" i="12"/>
  <c r="F11" i="12"/>
  <c r="H11" i="12"/>
  <c r="W11" i="12"/>
  <c r="F12" i="12"/>
  <c r="L12" i="12"/>
  <c r="Q12" i="12"/>
  <c r="W12" i="12"/>
  <c r="F13" i="12"/>
  <c r="H13" i="12"/>
  <c r="W13" i="12"/>
  <c r="F14" i="12"/>
  <c r="H14" i="12"/>
  <c r="W14" i="12"/>
  <c r="F15" i="12"/>
  <c r="W15" i="12"/>
  <c r="Z15" i="12" s="1"/>
  <c r="F16" i="12"/>
  <c r="H16" i="12"/>
  <c r="Q16" i="12"/>
  <c r="W16" i="12"/>
  <c r="F17" i="12"/>
  <c r="H17" i="12"/>
  <c r="Q17" i="12"/>
  <c r="W17" i="12"/>
  <c r="F18" i="12"/>
  <c r="L18" i="12"/>
  <c r="Q18" i="12"/>
  <c r="W18" i="12"/>
  <c r="F19" i="12"/>
  <c r="H19" i="12"/>
  <c r="Q19" i="12"/>
  <c r="W19" i="12"/>
  <c r="F20" i="12"/>
  <c r="H20" i="12"/>
  <c r="Q20" i="12"/>
  <c r="W20" i="12"/>
  <c r="F21" i="12"/>
  <c r="Q21" i="12"/>
  <c r="W21" i="12"/>
  <c r="Z21" i="12" s="1"/>
  <c r="F22" i="12"/>
  <c r="H22" i="12"/>
  <c r="W22" i="12"/>
  <c r="F23" i="12"/>
  <c r="H23" i="12"/>
  <c r="Q23" i="12"/>
  <c r="W23" i="12"/>
  <c r="F24" i="12"/>
  <c r="Q24" i="12"/>
  <c r="W24" i="12"/>
  <c r="Z24" i="12" s="1"/>
  <c r="F25" i="12"/>
  <c r="H25" i="12"/>
  <c r="Q25" i="12"/>
  <c r="W25" i="12"/>
  <c r="F26" i="12"/>
  <c r="H26" i="12"/>
  <c r="W26" i="12"/>
  <c r="F27" i="12"/>
  <c r="H27" i="12"/>
  <c r="Q27" i="12"/>
  <c r="W27" i="12"/>
  <c r="F28" i="12"/>
  <c r="Q28" i="12"/>
  <c r="W28" i="12"/>
  <c r="Z28" i="12" s="1"/>
  <c r="F29" i="12"/>
  <c r="H29" i="12"/>
  <c r="Q29" i="12"/>
  <c r="W29" i="12"/>
  <c r="F30" i="12"/>
  <c r="H30" i="12"/>
  <c r="W30" i="12"/>
  <c r="F31" i="12"/>
  <c r="Q31" i="12"/>
  <c r="W31" i="12"/>
  <c r="Z31" i="12" s="1"/>
  <c r="F32" i="12"/>
  <c r="H32" i="12"/>
  <c r="Q32" i="12"/>
  <c r="W32" i="12"/>
  <c r="F33" i="12"/>
  <c r="H33" i="12"/>
  <c r="W33" i="12"/>
  <c r="F34" i="12"/>
  <c r="H34" i="12"/>
  <c r="Q34" i="12"/>
  <c r="W34" i="12"/>
  <c r="F35" i="12"/>
  <c r="H35" i="12"/>
  <c r="W35" i="12"/>
  <c r="F36" i="12"/>
  <c r="H36" i="12"/>
  <c r="W36" i="12"/>
  <c r="F37" i="12"/>
  <c r="H37" i="12"/>
  <c r="W37" i="12"/>
  <c r="F38" i="12"/>
  <c r="L38" i="12"/>
  <c r="Q38" i="12"/>
  <c r="W38" i="12"/>
  <c r="F39" i="12"/>
  <c r="W39" i="12"/>
  <c r="Z39" i="12" s="1"/>
  <c r="F40" i="12"/>
  <c r="H40" i="12"/>
  <c r="W40" i="12"/>
  <c r="F41" i="12"/>
  <c r="H41" i="12"/>
  <c r="Q41" i="12"/>
  <c r="W41" i="12"/>
  <c r="F42" i="12"/>
  <c r="Q42" i="12"/>
  <c r="W42" i="12"/>
  <c r="Z42" i="12" s="1"/>
  <c r="F43" i="12"/>
  <c r="W43" i="12"/>
  <c r="Z43" i="12" s="1"/>
  <c r="F44" i="12"/>
  <c r="H44" i="12"/>
  <c r="Q44" i="12"/>
  <c r="W44" i="12"/>
  <c r="F45" i="12"/>
  <c r="H45" i="12"/>
  <c r="Q45" i="12"/>
  <c r="W45" i="12"/>
  <c r="F46" i="12"/>
  <c r="H46" i="12"/>
  <c r="Q46" i="12"/>
  <c r="W46" i="12"/>
  <c r="F47" i="12"/>
  <c r="H47" i="12"/>
  <c r="W47" i="12"/>
  <c r="F48" i="12"/>
  <c r="H48" i="12"/>
  <c r="W48" i="12"/>
  <c r="F49" i="12"/>
  <c r="H49" i="12"/>
  <c r="W49" i="12"/>
  <c r="F50" i="12"/>
  <c r="H50" i="12"/>
  <c r="Q50" i="12"/>
  <c r="W50" i="12"/>
  <c r="F51" i="12"/>
  <c r="H51" i="12"/>
  <c r="W51" i="12"/>
  <c r="F52" i="12"/>
  <c r="H52" i="12"/>
  <c r="W52" i="12"/>
  <c r="J49" i="1"/>
  <c r="H49" i="1"/>
  <c r="E71" i="9"/>
  <c r="AA12" i="1"/>
  <c r="AC12" i="1" s="1"/>
  <c r="AA14" i="1"/>
  <c r="AA17" i="1"/>
  <c r="AC17" i="1" s="1"/>
  <c r="AA18" i="1"/>
  <c r="AC18" i="1" s="1"/>
  <c r="AA21" i="1"/>
  <c r="AC21" i="1" s="1"/>
  <c r="AA22" i="1"/>
  <c r="AA23" i="1"/>
  <c r="AA24" i="1"/>
  <c r="AC24" i="1" s="1"/>
  <c r="AA26" i="1"/>
  <c r="AA27" i="1"/>
  <c r="AC27" i="1" s="1"/>
  <c r="AA29" i="1"/>
  <c r="AC29" i="1" s="1"/>
  <c r="AA31" i="1"/>
  <c r="AC31" i="1" s="1"/>
  <c r="AA34" i="1"/>
  <c r="AC34" i="1" s="1"/>
  <c r="AA37" i="1"/>
  <c r="AC37" i="1" s="1"/>
  <c r="AA38" i="1"/>
  <c r="AC38" i="1" s="1"/>
  <c r="AA40" i="1"/>
  <c r="AC40" i="1" s="1"/>
  <c r="AA41" i="1"/>
  <c r="AC41" i="1" s="1"/>
  <c r="AA45" i="1"/>
  <c r="AC45" i="1" s="1"/>
  <c r="AA46" i="1"/>
  <c r="AC46" i="1" s="1"/>
  <c r="AA50" i="1"/>
  <c r="AC50" i="1" s="1"/>
  <c r="AA51" i="1"/>
  <c r="AC51" i="1" s="1"/>
  <c r="AA11" i="1"/>
  <c r="AA10" i="1"/>
  <c r="AC10" i="1" s="1"/>
  <c r="AA9" i="1"/>
  <c r="AD9" i="1" s="1"/>
  <c r="AC8" i="1"/>
  <c r="AC13" i="1"/>
  <c r="AC15" i="1"/>
  <c r="AC16" i="1"/>
  <c r="AC19" i="1"/>
  <c r="AC20" i="1"/>
  <c r="AC25" i="1"/>
  <c r="AC28" i="1"/>
  <c r="AC30" i="1"/>
  <c r="AC32" i="1"/>
  <c r="AC35" i="1"/>
  <c r="AC36" i="1"/>
  <c r="AC42" i="1"/>
  <c r="AC43" i="1"/>
  <c r="AC44" i="1"/>
  <c r="AC47" i="1"/>
  <c r="AC48" i="1"/>
  <c r="AC7" i="1"/>
  <c r="AC6" i="1"/>
  <c r="AG7" i="1"/>
  <c r="AH7" i="1" s="1"/>
  <c r="C6" i="16" s="1"/>
  <c r="AG8" i="1"/>
  <c r="AH8" i="1" s="1"/>
  <c r="C7" i="16" s="1"/>
  <c r="AG9" i="1"/>
  <c r="AH9" i="1" s="1"/>
  <c r="C8" i="16" s="1"/>
  <c r="AG10" i="1"/>
  <c r="AH10" i="1" s="1"/>
  <c r="C9" i="16" s="1"/>
  <c r="AG11" i="1"/>
  <c r="AH11" i="1" s="1"/>
  <c r="C10" i="16" s="1"/>
  <c r="AG12" i="1"/>
  <c r="AH12" i="1" s="1"/>
  <c r="C11" i="16" s="1"/>
  <c r="AG13" i="1"/>
  <c r="AH13" i="1" s="1"/>
  <c r="C12" i="16" s="1"/>
  <c r="AG14" i="1"/>
  <c r="AH14" i="1" s="1"/>
  <c r="C13" i="16" s="1"/>
  <c r="AG15" i="1"/>
  <c r="AH15" i="1" s="1"/>
  <c r="AG16" i="1"/>
  <c r="AH16" i="1" s="1"/>
  <c r="C15" i="16" s="1"/>
  <c r="AG17" i="1"/>
  <c r="AH17" i="1" s="1"/>
  <c r="C16" i="16" s="1"/>
  <c r="AG18" i="1"/>
  <c r="AH18" i="1" s="1"/>
  <c r="C17" i="16" s="1"/>
  <c r="AG19" i="1"/>
  <c r="AH19" i="1" s="1"/>
  <c r="C18" i="16" s="1"/>
  <c r="AG20" i="1"/>
  <c r="AH20" i="1" s="1"/>
  <c r="C19" i="16" s="1"/>
  <c r="AG21" i="1"/>
  <c r="AH21" i="1" s="1"/>
  <c r="C20" i="16" s="1"/>
  <c r="AG22" i="1"/>
  <c r="AH22" i="1" s="1"/>
  <c r="C21" i="16" s="1"/>
  <c r="AG23" i="1"/>
  <c r="AH23" i="1" s="1"/>
  <c r="AG24" i="1"/>
  <c r="AH24" i="1" s="1"/>
  <c r="C23" i="16" s="1"/>
  <c r="AG25" i="1"/>
  <c r="AH25" i="1" s="1"/>
  <c r="C24" i="16" s="1"/>
  <c r="AG26" i="1"/>
  <c r="AH26" i="1" s="1"/>
  <c r="C25" i="16" s="1"/>
  <c r="AG27" i="1"/>
  <c r="AH27" i="1" s="1"/>
  <c r="C26" i="16" s="1"/>
  <c r="AG28" i="1"/>
  <c r="AH28" i="1" s="1"/>
  <c r="C27" i="16" s="1"/>
  <c r="AG29" i="1"/>
  <c r="AH29" i="1" s="1"/>
  <c r="C28" i="16" s="1"/>
  <c r="AG30" i="1"/>
  <c r="AH30" i="1" s="1"/>
  <c r="C29" i="16" s="1"/>
  <c r="AG31" i="1"/>
  <c r="AH31" i="1" s="1"/>
  <c r="AG32" i="1"/>
  <c r="AH32" i="1" s="1"/>
  <c r="C31" i="16" s="1"/>
  <c r="AG33" i="1"/>
  <c r="AH33" i="1" s="1"/>
  <c r="C32" i="16" s="1"/>
  <c r="AG34" i="1"/>
  <c r="AH34" i="1" s="1"/>
  <c r="C33" i="16" s="1"/>
  <c r="AG35" i="1"/>
  <c r="AH35" i="1" s="1"/>
  <c r="C34" i="16" s="1"/>
  <c r="AG36" i="1"/>
  <c r="AH36" i="1" s="1"/>
  <c r="C35" i="16" s="1"/>
  <c r="AG37" i="1"/>
  <c r="AH37" i="1" s="1"/>
  <c r="C36" i="16" s="1"/>
  <c r="AG38" i="1"/>
  <c r="AH38" i="1" s="1"/>
  <c r="C37" i="16" s="1"/>
  <c r="AG39" i="1"/>
  <c r="AH39" i="1" s="1"/>
  <c r="AG40" i="1"/>
  <c r="AH40" i="1" s="1"/>
  <c r="C39" i="16" s="1"/>
  <c r="AG41" i="1"/>
  <c r="AH41" i="1" s="1"/>
  <c r="C40" i="16" s="1"/>
  <c r="AG42" i="1"/>
  <c r="AH42" i="1" s="1"/>
  <c r="C41" i="16" s="1"/>
  <c r="AG43" i="1"/>
  <c r="AH43" i="1" s="1"/>
  <c r="C42" i="16" s="1"/>
  <c r="AG44" i="1"/>
  <c r="AH44" i="1" s="1"/>
  <c r="C43" i="16" s="1"/>
  <c r="AG45" i="1"/>
  <c r="AH45" i="1" s="1"/>
  <c r="C44" i="16" s="1"/>
  <c r="AG46" i="1"/>
  <c r="AH46" i="1" s="1"/>
  <c r="C45" i="16" s="1"/>
  <c r="AG47" i="1"/>
  <c r="AH47" i="1" s="1"/>
  <c r="AG48" i="1"/>
  <c r="AH48" i="1" s="1"/>
  <c r="C47" i="16" s="1"/>
  <c r="AG50" i="1"/>
  <c r="AH50" i="1" s="1"/>
  <c r="C49" i="16" s="1"/>
  <c r="AG51" i="1"/>
  <c r="AH51" i="1" s="1"/>
  <c r="C50" i="16" s="1"/>
  <c r="AG52" i="1"/>
  <c r="AH52" i="1" s="1"/>
  <c r="C51" i="16" s="1"/>
  <c r="AG6" i="1"/>
  <c r="AH6" i="1" s="1"/>
  <c r="C5" i="16" s="1"/>
  <c r="J39" i="1"/>
  <c r="H39" i="1"/>
  <c r="V6" i="1"/>
  <c r="X6" i="1" s="1"/>
  <c r="X20" i="1"/>
  <c r="X28" i="1"/>
  <c r="X42" i="1"/>
  <c r="X44" i="1"/>
  <c r="X48" i="1"/>
  <c r="V52" i="1"/>
  <c r="X52" i="1" s="1"/>
  <c r="V51" i="1"/>
  <c r="X51" i="1" s="1"/>
  <c r="V50" i="1"/>
  <c r="X50" i="1" s="1"/>
  <c r="V47" i="1"/>
  <c r="X47" i="1" s="1"/>
  <c r="V46" i="1"/>
  <c r="X46" i="1" s="1"/>
  <c r="V45" i="1"/>
  <c r="X45" i="1" s="1"/>
  <c r="V43" i="1"/>
  <c r="X43" i="1" s="1"/>
  <c r="V41" i="1"/>
  <c r="X41" i="1" s="1"/>
  <c r="V40" i="1"/>
  <c r="X40" i="1" s="1"/>
  <c r="V38" i="1"/>
  <c r="X38" i="1" s="1"/>
  <c r="V37" i="1"/>
  <c r="X37" i="1" s="1"/>
  <c r="V36" i="1"/>
  <c r="X36" i="1" s="1"/>
  <c r="V35" i="1"/>
  <c r="X35" i="1" s="1"/>
  <c r="V34" i="1"/>
  <c r="X34" i="1" s="1"/>
  <c r="V32" i="1"/>
  <c r="X32" i="1" s="1"/>
  <c r="V31" i="1"/>
  <c r="X31" i="1" s="1"/>
  <c r="V29" i="1"/>
  <c r="X29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18" i="1"/>
  <c r="X18" i="1" s="1"/>
  <c r="V17" i="1"/>
  <c r="X17" i="1" s="1"/>
  <c r="V16" i="1"/>
  <c r="X16" i="1" s="1"/>
  <c r="V14" i="1"/>
  <c r="X14" i="1" s="1"/>
  <c r="V13" i="1"/>
  <c r="X13" i="1" s="1"/>
  <c r="V12" i="1"/>
  <c r="X12" i="1" s="1"/>
  <c r="V11" i="1"/>
  <c r="X11" i="1" s="1"/>
  <c r="V10" i="1"/>
  <c r="X10" i="1" s="1"/>
  <c r="V9" i="1"/>
  <c r="X9" i="1" s="1"/>
  <c r="V8" i="1"/>
  <c r="X8" i="1" s="1"/>
  <c r="V7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4" i="1"/>
  <c r="S35" i="1"/>
  <c r="S36" i="1"/>
  <c r="S37" i="1"/>
  <c r="S38" i="1"/>
  <c r="S40" i="1"/>
  <c r="S41" i="1"/>
  <c r="S42" i="1"/>
  <c r="S43" i="1"/>
  <c r="S44" i="1"/>
  <c r="S45" i="1"/>
  <c r="S46" i="1"/>
  <c r="S47" i="1"/>
  <c r="S48" i="1"/>
  <c r="S50" i="1"/>
  <c r="S51" i="1"/>
  <c r="S52" i="1"/>
  <c r="S6" i="1"/>
  <c r="J33" i="1"/>
  <c r="H33" i="1"/>
  <c r="AH6" i="15" l="1"/>
  <c r="D5" i="16" s="1"/>
  <c r="AH46" i="15"/>
  <c r="D45" i="16" s="1"/>
  <c r="AH38" i="15"/>
  <c r="D37" i="16" s="1"/>
  <c r="AH30" i="15"/>
  <c r="D29" i="16" s="1"/>
  <c r="AH22" i="15"/>
  <c r="D21" i="16" s="1"/>
  <c r="AH45" i="15"/>
  <c r="D44" i="16" s="1"/>
  <c r="AH37" i="15"/>
  <c r="D36" i="16" s="1"/>
  <c r="AH29" i="15"/>
  <c r="D28" i="16" s="1"/>
  <c r="AH21" i="15"/>
  <c r="D20" i="16" s="1"/>
  <c r="AH13" i="15"/>
  <c r="D12" i="16" s="1"/>
  <c r="AH52" i="15"/>
  <c r="D51" i="16" s="1"/>
  <c r="AH44" i="15"/>
  <c r="D43" i="16" s="1"/>
  <c r="AH36" i="15"/>
  <c r="D35" i="16" s="1"/>
  <c r="AH28" i="15"/>
  <c r="D27" i="16" s="1"/>
  <c r="AH20" i="15"/>
  <c r="D19" i="16" s="1"/>
  <c r="AH12" i="15"/>
  <c r="D11" i="16" s="1"/>
  <c r="AH51" i="15"/>
  <c r="D50" i="16" s="1"/>
  <c r="AH35" i="15"/>
  <c r="D34" i="16" s="1"/>
  <c r="AH19" i="15"/>
  <c r="D18" i="16" s="1"/>
  <c r="AH50" i="15"/>
  <c r="D49" i="16" s="1"/>
  <c r="AH42" i="15"/>
  <c r="D41" i="16" s="1"/>
  <c r="AH34" i="15"/>
  <c r="D33" i="16" s="1"/>
  <c r="AH26" i="15"/>
  <c r="D25" i="16" s="1"/>
  <c r="AH18" i="15"/>
  <c r="D17" i="16" s="1"/>
  <c r="AH10" i="15"/>
  <c r="D9" i="16" s="1"/>
  <c r="AH48" i="15"/>
  <c r="D47" i="16" s="1"/>
  <c r="AH40" i="15"/>
  <c r="D39" i="16" s="1"/>
  <c r="AH32" i="15"/>
  <c r="D31" i="16" s="1"/>
  <c r="AH24" i="15"/>
  <c r="D23" i="16" s="1"/>
  <c r="AH16" i="15"/>
  <c r="D15" i="16" s="1"/>
  <c r="AH8" i="15"/>
  <c r="D7" i="16" s="1"/>
  <c r="AH47" i="15"/>
  <c r="D46" i="16" s="1"/>
  <c r="AH39" i="15"/>
  <c r="D38" i="16" s="1"/>
  <c r="AH31" i="15"/>
  <c r="D30" i="16" s="1"/>
  <c r="AH23" i="15"/>
  <c r="D22" i="16" s="1"/>
  <c r="AH15" i="15"/>
  <c r="D14" i="16" s="1"/>
  <c r="AH7" i="15"/>
  <c r="D6" i="16" s="1"/>
  <c r="Z29" i="12"/>
  <c r="Z12" i="12"/>
  <c r="Z25" i="12"/>
  <c r="Z36" i="12"/>
  <c r="Z22" i="12"/>
  <c r="Z49" i="12"/>
  <c r="Z52" i="12"/>
  <c r="Z34" i="12"/>
  <c r="Z20" i="12"/>
  <c r="Z13" i="12"/>
  <c r="Z8" i="12"/>
  <c r="Z45" i="12"/>
  <c r="Z32" i="12"/>
  <c r="Z38" i="12"/>
  <c r="Z50" i="12"/>
  <c r="Z40" i="12"/>
  <c r="Z30" i="12"/>
  <c r="Z37" i="12"/>
  <c r="Z6" i="12"/>
  <c r="Z18" i="12"/>
  <c r="Z16" i="12"/>
  <c r="Z51" i="12"/>
  <c r="Z48" i="12"/>
  <c r="Z46" i="12"/>
  <c r="Z44" i="12"/>
  <c r="Z7" i="12"/>
  <c r="Z23" i="12"/>
  <c r="Z33" i="12"/>
  <c r="Z14" i="12"/>
  <c r="Z47" i="12"/>
  <c r="Z35" i="12"/>
  <c r="Z19" i="12"/>
  <c r="Z10" i="12"/>
  <c r="Z27" i="12"/>
  <c r="Z17" i="12"/>
  <c r="Z9" i="12"/>
  <c r="Z41" i="12"/>
  <c r="Z26" i="12"/>
  <c r="Z11" i="12"/>
  <c r="AC9" i="1"/>
  <c r="AC22" i="1"/>
  <c r="AC14" i="1"/>
  <c r="AC23" i="1"/>
  <c r="AC26" i="1"/>
  <c r="AC11" i="1"/>
  <c r="X7" i="1"/>
  <c r="N9" i="1"/>
  <c r="O9" i="1" s="1"/>
  <c r="K9" i="1"/>
  <c r="L9" i="1" s="1"/>
  <c r="J6" i="1"/>
  <c r="AD6" i="1" s="1"/>
  <c r="J52" i="1"/>
  <c r="N52" i="1" s="1"/>
  <c r="J48" i="1"/>
  <c r="J47" i="1"/>
  <c r="J46" i="1"/>
  <c r="N46" i="1" s="1"/>
  <c r="J44" i="1"/>
  <c r="J43" i="1"/>
  <c r="J42" i="1"/>
  <c r="J41" i="1"/>
  <c r="J34" i="1"/>
  <c r="N34" i="1" s="1"/>
  <c r="J35" i="1"/>
  <c r="J36" i="1"/>
  <c r="J32" i="1"/>
  <c r="J30" i="1"/>
  <c r="J28" i="1"/>
  <c r="J23" i="1"/>
  <c r="K23" i="1" s="1"/>
  <c r="J22" i="1"/>
  <c r="K22" i="1" s="1"/>
  <c r="L22" i="1" s="1"/>
  <c r="J20" i="1"/>
  <c r="J16" i="1"/>
  <c r="J15" i="1"/>
  <c r="J19" i="1"/>
  <c r="J14" i="1"/>
  <c r="K14" i="1" s="1"/>
  <c r="L14" i="1" s="1"/>
  <c r="J51" i="1"/>
  <c r="N51" i="1" s="1"/>
  <c r="J50" i="1"/>
  <c r="K50" i="1" s="1"/>
  <c r="J45" i="1"/>
  <c r="J40" i="1"/>
  <c r="J38" i="1"/>
  <c r="J37" i="1"/>
  <c r="J31" i="1"/>
  <c r="J29" i="1"/>
  <c r="J27" i="1"/>
  <c r="J26" i="1"/>
  <c r="K26" i="1" s="1"/>
  <c r="J25" i="1"/>
  <c r="J24" i="1"/>
  <c r="J21" i="1"/>
  <c r="J18" i="1"/>
  <c r="J17" i="1"/>
  <c r="N17" i="1" s="1"/>
  <c r="J12" i="1"/>
  <c r="J11" i="1"/>
  <c r="K11" i="1" s="1"/>
  <c r="J8" i="1"/>
  <c r="J7" i="1"/>
  <c r="J13" i="1"/>
  <c r="J10" i="1"/>
  <c r="H52" i="1"/>
  <c r="H51" i="1"/>
  <c r="H50" i="1"/>
  <c r="H40" i="1"/>
  <c r="H41" i="1"/>
  <c r="H42" i="1"/>
  <c r="H43" i="1"/>
  <c r="H44" i="1"/>
  <c r="H45" i="1"/>
  <c r="H46" i="1"/>
  <c r="H47" i="1"/>
  <c r="H48" i="1"/>
  <c r="H38" i="1"/>
  <c r="H37" i="1"/>
  <c r="H36" i="1"/>
  <c r="H35" i="1"/>
  <c r="H34" i="1"/>
  <c r="H32" i="1"/>
  <c r="H31" i="1"/>
  <c r="H30" i="1"/>
  <c r="H29" i="1"/>
  <c r="H28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6" i="1"/>
  <c r="AD22" i="1" l="1"/>
  <c r="AD14" i="1"/>
  <c r="AD50" i="1"/>
  <c r="N10" i="1"/>
  <c r="AD10" i="1"/>
  <c r="N37" i="1"/>
  <c r="O37" i="1" s="1"/>
  <c r="AD37" i="1"/>
  <c r="N44" i="1"/>
  <c r="AD44" i="1"/>
  <c r="AD23" i="1"/>
  <c r="K13" i="1"/>
  <c r="AD13" i="1"/>
  <c r="N21" i="1"/>
  <c r="AD21" i="1"/>
  <c r="N38" i="1"/>
  <c r="AD38" i="1"/>
  <c r="K16" i="1"/>
  <c r="AD16" i="1"/>
  <c r="N28" i="1"/>
  <c r="AD28" i="1"/>
  <c r="AD51" i="1"/>
  <c r="AD11" i="1"/>
  <c r="N18" i="1"/>
  <c r="AD18" i="1"/>
  <c r="K7" i="1"/>
  <c r="AD7" i="1"/>
  <c r="N25" i="1"/>
  <c r="AD25" i="1"/>
  <c r="K45" i="1"/>
  <c r="AD45" i="1"/>
  <c r="K20" i="1"/>
  <c r="L20" i="1" s="1"/>
  <c r="AD20" i="1"/>
  <c r="N41" i="1"/>
  <c r="O41" i="1" s="1"/>
  <c r="AD41" i="1"/>
  <c r="AD26" i="1"/>
  <c r="K8" i="1"/>
  <c r="AD8" i="1"/>
  <c r="N30" i="1"/>
  <c r="AD30" i="1"/>
  <c r="K47" i="1"/>
  <c r="L47" i="1" s="1"/>
  <c r="AD47" i="1"/>
  <c r="K24" i="1"/>
  <c r="AD24" i="1"/>
  <c r="AD46" i="1"/>
  <c r="K27" i="1"/>
  <c r="L27" i="1" s="1"/>
  <c r="AD27" i="1"/>
  <c r="K32" i="1"/>
  <c r="L32" i="1" s="1"/>
  <c r="AD32" i="1"/>
  <c r="N42" i="1"/>
  <c r="AD42" i="1"/>
  <c r="N48" i="1"/>
  <c r="AD48" i="1"/>
  <c r="AD17" i="1"/>
  <c r="AD34" i="1"/>
  <c r="K40" i="1"/>
  <c r="AD40" i="1"/>
  <c r="K12" i="1"/>
  <c r="L12" i="1" s="1"/>
  <c r="AD12" i="1"/>
  <c r="N29" i="1"/>
  <c r="AD29" i="1"/>
  <c r="N36" i="1"/>
  <c r="AD36" i="1"/>
  <c r="K43" i="1"/>
  <c r="L43" i="1" s="1"/>
  <c r="AD43" i="1"/>
  <c r="K31" i="1"/>
  <c r="L31" i="1" s="1"/>
  <c r="AD31" i="1"/>
  <c r="K19" i="1"/>
  <c r="L19" i="1" s="1"/>
  <c r="AD19" i="1"/>
  <c r="N15" i="1"/>
  <c r="AD15" i="1"/>
  <c r="K35" i="1"/>
  <c r="AD35" i="1"/>
  <c r="K6" i="1"/>
  <c r="L6" i="1" s="1"/>
  <c r="N6" i="1"/>
  <c r="N45" i="1"/>
  <c r="N23" i="1"/>
  <c r="N12" i="1"/>
  <c r="O12" i="1" s="1"/>
  <c r="N50" i="1"/>
  <c r="O50" i="1" s="1"/>
  <c r="N7" i="1"/>
  <c r="O7" i="1" s="1"/>
  <c r="N40" i="1"/>
  <c r="N20" i="1"/>
  <c r="N47" i="1"/>
  <c r="O47" i="1" s="1"/>
  <c r="N43" i="1"/>
  <c r="O43" i="1" s="1"/>
  <c r="N35" i="1"/>
  <c r="N31" i="1"/>
  <c r="N19" i="1"/>
  <c r="N16" i="1"/>
  <c r="N14" i="1"/>
  <c r="O14" i="1" s="1"/>
  <c r="N32" i="1"/>
  <c r="O32" i="1" s="1"/>
  <c r="N27" i="1"/>
  <c r="O27" i="1" s="1"/>
  <c r="N24" i="1"/>
  <c r="N13" i="1"/>
  <c r="N8" i="1"/>
  <c r="N26" i="1"/>
  <c r="N22" i="1"/>
  <c r="N11" i="1"/>
  <c r="O11" i="1" s="1"/>
  <c r="K17" i="1"/>
  <c r="L17" i="1" s="1"/>
  <c r="K34" i="1"/>
  <c r="L34" i="1" s="1"/>
  <c r="K28" i="1"/>
  <c r="L28" i="1" s="1"/>
  <c r="K52" i="1"/>
  <c r="K36" i="1"/>
  <c r="K15" i="1"/>
  <c r="L15" i="1" s="1"/>
  <c r="K30" i="1"/>
  <c r="L30" i="1" s="1"/>
  <c r="K51" i="1"/>
  <c r="K46" i="1"/>
  <c r="L46" i="1" s="1"/>
  <c r="K42" i="1"/>
  <c r="K29" i="1"/>
  <c r="K48" i="1"/>
  <c r="K21" i="1"/>
  <c r="L21" i="1" s="1"/>
  <c r="K38" i="1"/>
  <c r="K44" i="1"/>
  <c r="K41" i="1"/>
  <c r="L41" i="1" s="1"/>
  <c r="K10" i="1"/>
  <c r="K25" i="1"/>
  <c r="K18" i="1"/>
  <c r="L18" i="1" s="1"/>
  <c r="K37" i="1"/>
</calcChain>
</file>

<file path=xl/sharedStrings.xml><?xml version="1.0" encoding="utf-8"?>
<sst xmlns="http://schemas.openxmlformats.org/spreadsheetml/2006/main" count="1803" uniqueCount="333">
  <si>
    <t>Locality</t>
  </si>
  <si>
    <t>On-Sales</t>
  </si>
  <si>
    <t>Off-Sales</t>
  </si>
  <si>
    <t>Both</t>
  </si>
  <si>
    <t>Overall</t>
  </si>
  <si>
    <t>Aberchirder</t>
  </si>
  <si>
    <t>Aboyne</t>
  </si>
  <si>
    <t xml:space="preserve">Alford </t>
  </si>
  <si>
    <t>Ballater</t>
  </si>
  <si>
    <t>Balmedie</t>
  </si>
  <si>
    <t>Banchory</t>
  </si>
  <si>
    <t>Banff</t>
  </si>
  <si>
    <t>Blackburn</t>
  </si>
  <si>
    <t>Braemar</t>
  </si>
  <si>
    <t>Crimond</t>
  </si>
  <si>
    <t>Cruden Bay</t>
  </si>
  <si>
    <t>Ellon</t>
  </si>
  <si>
    <t>Fraserburgh</t>
  </si>
  <si>
    <t>Fyvie</t>
  </si>
  <si>
    <t>Gardenstown</t>
  </si>
  <si>
    <t>Huntly</t>
  </si>
  <si>
    <t>Insch</t>
  </si>
  <si>
    <t>Inverbervie</t>
  </si>
  <si>
    <t>Inverurie</t>
  </si>
  <si>
    <t>Kemnay</t>
  </si>
  <si>
    <t>Kintore</t>
  </si>
  <si>
    <t>Laurencekirk</t>
  </si>
  <si>
    <t>Longside</t>
  </si>
  <si>
    <t>Macduff</t>
  </si>
  <si>
    <t>Methlick</t>
  </si>
  <si>
    <t>Mintlaw</t>
  </si>
  <si>
    <t>New Deer</t>
  </si>
  <si>
    <t>New Pitsligo</t>
  </si>
  <si>
    <t>Newmachar</t>
  </si>
  <si>
    <t>Newtonhill</t>
  </si>
  <si>
    <t>Oldmeldrum</t>
  </si>
  <si>
    <t>Peterhead</t>
  </si>
  <si>
    <t>Portlethen</t>
  </si>
  <si>
    <t>Portsoy</t>
  </si>
  <si>
    <t>Rosehearty</t>
  </si>
  <si>
    <t>Sandhaven</t>
  </si>
  <si>
    <t>St. Cyrus</t>
  </si>
  <si>
    <t>Stonehaven</t>
  </si>
  <si>
    <t>Strichen</t>
  </si>
  <si>
    <t>Tarland</t>
  </si>
  <si>
    <t>Tarves</t>
  </si>
  <si>
    <t>Turriff</t>
  </si>
  <si>
    <t>Westhill</t>
  </si>
  <si>
    <t>Whitehills</t>
  </si>
  <si>
    <t>Population</t>
  </si>
  <si>
    <t>&lt;500</t>
  </si>
  <si>
    <t>Number of Premises</t>
  </si>
  <si>
    <t>Total</t>
  </si>
  <si>
    <t>Aged:16+</t>
  </si>
  <si>
    <t>Population Aged 16+</t>
  </si>
  <si>
    <t>Population based on breakdown of population within Aberdeenshire (82% aged 16+).</t>
  </si>
  <si>
    <t>Population based on a population of 300 people and the breakdown of population within Aberdeenshire (82% aged 16+).</t>
  </si>
  <si>
    <t>Population based on figures taken from the town profiles available on the Council website.</t>
  </si>
  <si>
    <t>Density of Premises+</t>
  </si>
  <si>
    <t>+</t>
  </si>
  <si>
    <t>A</t>
  </si>
  <si>
    <t>0 to 1</t>
  </si>
  <si>
    <t>2 to 3</t>
  </si>
  <si>
    <t>4 to 5</t>
  </si>
  <si>
    <t>0.75 points</t>
  </si>
  <si>
    <t>6 to 7</t>
  </si>
  <si>
    <t>0.50 points</t>
  </si>
  <si>
    <t>0.00 points</t>
  </si>
  <si>
    <t>1.25 points</t>
  </si>
  <si>
    <t>8 to 9</t>
  </si>
  <si>
    <t>1.50 points</t>
  </si>
  <si>
    <t>B</t>
  </si>
  <si>
    <t>0.25 points</t>
  </si>
  <si>
    <t>C</t>
  </si>
  <si>
    <t>1.75 points</t>
  </si>
  <si>
    <t>On-sales premises within settlement.</t>
  </si>
  <si>
    <t>Premises selling both within settlement.</t>
  </si>
  <si>
    <t>Minimum Score</t>
  </si>
  <si>
    <t>Density of Premises</t>
  </si>
  <si>
    <t>Off-sales premises within settlement.</t>
  </si>
  <si>
    <t>D</t>
  </si>
  <si>
    <t>Less</t>
  </si>
  <si>
    <t>Same</t>
  </si>
  <si>
    <t>1.00 point</t>
  </si>
  <si>
    <t>E</t>
  </si>
  <si>
    <t>Score C</t>
  </si>
  <si>
    <t>13+</t>
  </si>
  <si>
    <t>2.00 points</t>
  </si>
  <si>
    <t>10 to 12</t>
  </si>
  <si>
    <t>Maximum Score</t>
  </si>
  <si>
    <t>0.90 points</t>
  </si>
  <si>
    <t>0.80 points</t>
  </si>
  <si>
    <t>0.70 points</t>
  </si>
  <si>
    <t>0.60 points</t>
  </si>
  <si>
    <t>0.40 points</t>
  </si>
  <si>
    <t>0.30 points</t>
  </si>
  <si>
    <t>75% to 99%</t>
  </si>
  <si>
    <t>0.20 points</t>
  </si>
  <si>
    <t>50% to 74%</t>
  </si>
  <si>
    <t>0.10 points</t>
  </si>
  <si>
    <t>25% to 49%</t>
  </si>
  <si>
    <t>Less than 0.1 m2 per person</t>
  </si>
  <si>
    <t>Less than 25%</t>
  </si>
  <si>
    <t xml:space="preserve">M2 of alcohol per person based on the capacity of premises within the settlement. </t>
  </si>
  <si>
    <t>H</t>
  </si>
  <si>
    <t>Hours and capacities of off-sales premises</t>
  </si>
  <si>
    <t>G</t>
  </si>
  <si>
    <t>F</t>
  </si>
  <si>
    <t>Over by more than 100%</t>
  </si>
  <si>
    <t>Over by 76% to 100%</t>
  </si>
  <si>
    <t>Over by 50% to 75%</t>
  </si>
  <si>
    <t>Over by 26% to 49%</t>
  </si>
  <si>
    <t xml:space="preserve">Over by 1% to 25% </t>
  </si>
  <si>
    <t>Density of off-sales premises within settlement compared to previous Scottish National Average of 11.6 per 10,000 of population (over the age of 18).</t>
  </si>
  <si>
    <t>Score A</t>
  </si>
  <si>
    <t>Score B</t>
  </si>
  <si>
    <t>On-Sales^</t>
  </si>
  <si>
    <t>^</t>
  </si>
  <si>
    <t>On-Sales for the purposes of density includes premises selling both which is in line with the previous National Average calculation.</t>
  </si>
  <si>
    <t>Score E</t>
  </si>
  <si>
    <t>Score D</t>
  </si>
  <si>
    <t>Over %</t>
  </si>
  <si>
    <t>N/A</t>
  </si>
  <si>
    <t>Score F</t>
  </si>
  <si>
    <t>Score G</t>
  </si>
  <si>
    <t>New Leeds</t>
  </si>
  <si>
    <t>Pittulie</t>
  </si>
  <si>
    <t>%</t>
  </si>
  <si>
    <t>Score H</t>
  </si>
  <si>
    <t>On-sales Hours"</t>
  </si>
  <si>
    <t>Max Hours</t>
  </si>
  <si>
    <t># Premises</t>
  </si>
  <si>
    <t>?</t>
  </si>
  <si>
    <t>Av Daily</t>
  </si>
  <si>
    <t>#Premises</t>
  </si>
  <si>
    <t>Off-Sales Capacity</t>
  </si>
  <si>
    <t>MEAN</t>
  </si>
  <si>
    <t>Per Person</t>
  </si>
  <si>
    <t>Overall Score</t>
  </si>
  <si>
    <t>Off-sales capacities</t>
  </si>
  <si>
    <t>Missing Hours.</t>
  </si>
  <si>
    <t>12 to 13 hours</t>
  </si>
  <si>
    <t>13 to 14 hours</t>
  </si>
  <si>
    <t>Over 14 hours</t>
  </si>
  <si>
    <t xml:space="preserve">Missing Hours: </t>
  </si>
  <si>
    <t>Daily average of on-sales hours within the settlement (incl. premises selling both).</t>
  </si>
  <si>
    <t>Percentage (%) of off-sales premises within settlement who operate using the maximum hours allowed (84 hours per week) (incl. premises selling both).</t>
  </si>
  <si>
    <t>Capacities not stated for some / all premises selling both.</t>
  </si>
  <si>
    <t>Capacities not stated for all of the off-sales only premises.</t>
  </si>
  <si>
    <t>0.11m2 to 0.19m2 per person</t>
  </si>
  <si>
    <t>0.10 m2 per person</t>
  </si>
  <si>
    <t>0.09 m2 per person</t>
  </si>
  <si>
    <t>0.08 m2 per person</t>
  </si>
  <si>
    <t>0.07 m2 per person</t>
  </si>
  <si>
    <t>0.06 m2 per person</t>
  </si>
  <si>
    <t>0.05 m2 per person</t>
  </si>
  <si>
    <t>0.04 m2 per person</t>
  </si>
  <si>
    <t>0.03 m2 per person</t>
  </si>
  <si>
    <t>0.02 m2 per person</t>
  </si>
  <si>
    <t>0.01 m2 per person</t>
  </si>
  <si>
    <t>11 to 12 hours</t>
  </si>
  <si>
    <t>Less than 11 hours</t>
  </si>
  <si>
    <t>Scoring Criteria</t>
  </si>
  <si>
    <t>Overall Scoring</t>
  </si>
  <si>
    <t>Minimum Score (Overall)</t>
  </si>
  <si>
    <t>Maximum Score (Overall)</t>
  </si>
  <si>
    <t>Categories</t>
  </si>
  <si>
    <t>% Score</t>
  </si>
  <si>
    <t>Colour</t>
  </si>
  <si>
    <t>Off-Sales hours</t>
  </si>
  <si>
    <t>Missing statistical data for settlement within the category in question.</t>
  </si>
  <si>
    <t xml:space="preserve">Scottish National Average at the time of the last review was as follows based on population aged 18+: Off-Sales = 11.6 and On-Sales (Incl. Both) = 26.5). </t>
  </si>
  <si>
    <t>Change in category since initial overprovision work.</t>
  </si>
  <si>
    <t>Tipperty</t>
  </si>
  <si>
    <t>No</t>
  </si>
  <si>
    <t>Yes</t>
  </si>
  <si>
    <t>St.Cyrus</t>
  </si>
  <si>
    <t>Np</t>
  </si>
  <si>
    <t>Alford</t>
  </si>
  <si>
    <t>Number</t>
  </si>
  <si>
    <t>A+</t>
  </si>
  <si>
    <t>Multiple Deprivation Level</t>
  </si>
  <si>
    <t>Potential Risk - Scores</t>
  </si>
  <si>
    <t># SIMD DZ</t>
  </si>
  <si>
    <t>DZ in top 10 for A</t>
  </si>
  <si>
    <t>In top 5 for A</t>
  </si>
  <si>
    <t xml:space="preserve">Income Deprivation Level </t>
  </si>
  <si>
    <t>DZ with 10% +</t>
  </si>
  <si>
    <t>Top 5 in A</t>
  </si>
  <si>
    <t>DZ in top 1/3rd for S</t>
  </si>
  <si>
    <t xml:space="preserve">Potential Risk </t>
  </si>
  <si>
    <t>Multiple Deprivation</t>
  </si>
  <si>
    <t xml:space="preserve">Settlement has a SIMD Data Zone within the top third of the most deprived areas within Scotland. </t>
  </si>
  <si>
    <t>&lt;10%</t>
  </si>
  <si>
    <t>The number of the SIMD Data Zones within the top ten most deprived areas for Aberdeenshire.</t>
  </si>
  <si>
    <t>Income Deprivation</t>
  </si>
  <si>
    <t xml:space="preserve">Settlement has a SIMD Data Zone where 10% or more of its population experience income deprivation.  </t>
  </si>
  <si>
    <t>% of SIMD Data Zones meeting the criteria within D above.</t>
  </si>
  <si>
    <t>% of SIMD Data Zones meeting the criteria within A above.</t>
  </si>
  <si>
    <t>The number of SIMD Data Zones within the top ten deprived areas for Aberdeenshire.</t>
  </si>
  <si>
    <t xml:space="preserve">Health Deprivation </t>
  </si>
  <si>
    <t>This category has been scored on the basis of alcohol-related hospitalisations and this has been covered within 'Evidence of Harm'.</t>
  </si>
  <si>
    <t>Deprivation As A Result of Crime</t>
  </si>
  <si>
    <t>This category has been scored as data relating to the applicable crime rates and this has been covered within 'Evidence of Harm'.</t>
  </si>
  <si>
    <t>Evidence of Harm</t>
  </si>
  <si>
    <t>Preventing Crime and Disorder</t>
  </si>
  <si>
    <t xml:space="preserve">Settlement has a SIMD Data Zone Crime Rate of 70% of the National Average for Scotland. </t>
  </si>
  <si>
    <t xml:space="preserve">Location of settlement in terms of Police Scotland's Statistics relating to 'Violence in Licensed Premises'. </t>
  </si>
  <si>
    <t>B&amp;B</t>
  </si>
  <si>
    <t>M</t>
  </si>
  <si>
    <t>K&amp;M</t>
  </si>
  <si>
    <t>0.67 points</t>
  </si>
  <si>
    <t>0.33 points</t>
  </si>
  <si>
    <t xml:space="preserve">Settlement within F and M which show an increasing trend in terms of such cases according to Police Scotland's Statistics. </t>
  </si>
  <si>
    <t xml:space="preserve">Securing Public Safety </t>
  </si>
  <si>
    <t>No statistics in respect of this Licensing Objective were received.</t>
  </si>
  <si>
    <t>Preventing Public Nuisance</t>
  </si>
  <si>
    <t>Protecting and Improving Public Health</t>
  </si>
  <si>
    <t xml:space="preserve">Settlement has a SIMD Data Zone with an Alcohol-Related Hospitalisation Rate of 70% of the National Average for Scotland. </t>
  </si>
  <si>
    <t>% of SIMD Data Zones meeting the criteria within E above.</t>
  </si>
  <si>
    <t>The number of the SIMD Data Zones within the top ten for Aberdeenshire.</t>
  </si>
  <si>
    <t>2 or more</t>
  </si>
  <si>
    <t>0.50 points.</t>
  </si>
  <si>
    <t>I</t>
  </si>
  <si>
    <t>Settlement has an increasing Alcohol-Related Hospitalisation Rate since the SIMD in 2016 taking into account change in population.</t>
  </si>
  <si>
    <t>No increase</t>
  </si>
  <si>
    <t>Increase 1-10%</t>
  </si>
  <si>
    <t>Increase 10-25%</t>
  </si>
  <si>
    <t>Increase 26%-50%</t>
  </si>
  <si>
    <t>Increase 51-75%</t>
  </si>
  <si>
    <t>Increase 76%-100%</t>
  </si>
  <si>
    <t>Over 100%</t>
  </si>
  <si>
    <t>Protecting Children and Young Persons from Harm</t>
  </si>
  <si>
    <t>F+</t>
  </si>
  <si>
    <t>E+</t>
  </si>
  <si>
    <t>D+</t>
  </si>
  <si>
    <t>B+</t>
  </si>
  <si>
    <t>Evidence of Harm - Scores</t>
  </si>
  <si>
    <t>Location</t>
  </si>
  <si>
    <t>DZ C Rate of 70% of NA</t>
  </si>
  <si>
    <t>% of DZ's</t>
  </si>
  <si>
    <t>AR-H and DR-H Rate of 70%+</t>
  </si>
  <si>
    <t>AR-H Rate of 70%+</t>
  </si>
  <si>
    <t>AR-H Rate Increase from 2016</t>
  </si>
  <si>
    <t>G^</t>
  </si>
  <si>
    <t>Population figures unavailable for these settlements as these have fewer than 500 people and therefore do not appear within the figures published on the Council website - statistics based on population of 300.</t>
  </si>
  <si>
    <t xml:space="preserve">Fraserburgh and Peterhead have both been included as they are 5th equal in terms of the statistics. </t>
  </si>
  <si>
    <t>Overprovision Scores</t>
  </si>
  <si>
    <t>Comments</t>
  </si>
  <si>
    <t>Determined Level</t>
  </si>
  <si>
    <t>Potential Risk                    (%)</t>
  </si>
  <si>
    <t>Evidence of Harm                                   (%)</t>
  </si>
  <si>
    <t>Low level evidence of harm.</t>
  </si>
  <si>
    <t xml:space="preserve">Change in level since initial overprovision work. </t>
  </si>
  <si>
    <t>No Action</t>
  </si>
  <si>
    <t>Overprovision</t>
  </si>
  <si>
    <t>Watching Brief</t>
  </si>
  <si>
    <t>75%+</t>
  </si>
  <si>
    <t>0-25%</t>
  </si>
  <si>
    <t>26-44%</t>
  </si>
  <si>
    <t>45-55%</t>
  </si>
  <si>
    <t>56%-74%</t>
  </si>
  <si>
    <t>Lower than average level of harm despite above average level of availability.</t>
  </si>
  <si>
    <t>No licensed premises within this settlement.</t>
  </si>
  <si>
    <t>No Action - Noted</t>
  </si>
  <si>
    <t>Settlement has a SIMD Data Zone within the top 10 deprived areas for Aberdeenshire.</t>
  </si>
  <si>
    <t>Settlement has a SIMD Data Zone within the top 10 highest rates within Aberdeenshire.</t>
  </si>
  <si>
    <t xml:space="preserve">No Action </t>
  </si>
  <si>
    <t>Comments re: Changes</t>
  </si>
  <si>
    <t>High Risk Trigger raised to 75.00% from 70.00%</t>
  </si>
  <si>
    <t>Removal of Members Clubs from totals and change in scoring criteria.</t>
  </si>
  <si>
    <t>Removal of Members Clubs from totals and change in scoring criteria plus addition of Average Level from 45% to 55%.</t>
  </si>
  <si>
    <t>Average Level now included between 45.00% and 55.00%.</t>
  </si>
  <si>
    <t>Initial Calculation Error and Higher Evidence of Harm Trigger raised from 70.00% to 75.00%.</t>
  </si>
  <si>
    <t>Initial Calculation Error.</t>
  </si>
  <si>
    <t>Initial Calculation Error and Higher Evidence of Harm Trigger raised from 70.00% to 75.00% means level has stayed the same.</t>
  </si>
  <si>
    <t>Availability of Alcohol - Scores</t>
  </si>
  <si>
    <t>Availability of Alcohol</t>
  </si>
  <si>
    <t>Availability of Alcohol (%)</t>
  </si>
  <si>
    <t>Approaching a higher than average level of availability but with lower than average evidence of harm.</t>
  </si>
  <si>
    <t>Higher than average risk potential, lower than average level of availability but with a higher than average evidence of harm.</t>
  </si>
  <si>
    <t xml:space="preserve">Low level evidence of harm despite above average level of availability. </t>
  </si>
  <si>
    <t>Lower than average level of availability and evidence at present but both approaching the next determined level (average).</t>
  </si>
  <si>
    <t>High level of risk, higher than average level of availability with high evidence of harm.</t>
  </si>
  <si>
    <t>Lower than average of level of availability and evidence of harm but the latter is approaching the next determined level (average).</t>
  </si>
  <si>
    <t>Low level evidence of harm with a lower than average level of availability.</t>
  </si>
  <si>
    <t>Lower than average levels of potential risk and availability but higher than average evidence of harm.</t>
  </si>
  <si>
    <t>Higher than average levels of availability and evidence of harm with the latter approaching the next determined level (high).</t>
  </si>
  <si>
    <t>Low level of availability with lower than average evidence of harm.</t>
  </si>
  <si>
    <t>Low level of availability but with high level evidence of harm with this approaching the next determined level (high).</t>
  </si>
  <si>
    <t>Lower than average levels of availability and evidence of harm.</t>
  </si>
  <si>
    <t>Higher than average levels in terms of risk potential and availability of alcohol with high level evidence of harm.</t>
  </si>
  <si>
    <t>Low level of evidence of harm with a lower than average level of availability.</t>
  </si>
  <si>
    <t>Lower than average evidence of harm with an average level of availability.</t>
  </si>
  <si>
    <t>Lower than average level of availability and evidence of harm,</t>
  </si>
  <si>
    <t>Potential risk is above the average level (56-74% of overall score).</t>
  </si>
  <si>
    <t>Potential risk is at an average level (45-55% of overall score).</t>
  </si>
  <si>
    <t>Potential risk is below the average level (26-44 % of overall score).</t>
  </si>
  <si>
    <t xml:space="preserve">High level of harm </t>
  </si>
  <si>
    <t>Above average level of harm</t>
  </si>
  <si>
    <t>Average level of harm</t>
  </si>
  <si>
    <t>Below average level of harm</t>
  </si>
  <si>
    <t>Low level of harm</t>
  </si>
  <si>
    <t>High level of availability</t>
  </si>
  <si>
    <t xml:space="preserve">Above average level of availability </t>
  </si>
  <si>
    <t>Average level of availability</t>
  </si>
  <si>
    <t xml:space="preserve">Low level of availability </t>
  </si>
  <si>
    <t>High potential risk of harm</t>
  </si>
  <si>
    <t>Above average potential risk of harm</t>
  </si>
  <si>
    <t>Average potential risk of harm</t>
  </si>
  <si>
    <t>Below average potential risk of harm</t>
  </si>
  <si>
    <t>Low potential risk of harm</t>
  </si>
  <si>
    <t>Evidence of harm is above the average level (56-74% of overall score).</t>
  </si>
  <si>
    <t>Evidence of harm is at an average level (45-55% of overall score).</t>
  </si>
  <si>
    <t>Evidence of harm is below the average level (26-44 % of overall score).</t>
  </si>
  <si>
    <t>Evidence of harm is at a high level (75% + of overall score).</t>
  </si>
  <si>
    <t>Evidence of harm is at a low level (0 - 25% of overall score).</t>
  </si>
  <si>
    <t>Potential risk at a high level (75% + of overall score).</t>
  </si>
  <si>
    <t>Potential risk is at a low level (0 - 25% of overall score).</t>
  </si>
  <si>
    <t>For details of the % scores in each category see the tabs - 'Risk Scores', 'Availability Scores' and 'Harm Scores'.</t>
  </si>
  <si>
    <t>For details of the scoring criteria used see the tabs - 'Risk Criteria', 'Availability Criteria' and 'Harm Criteria'.</t>
  </si>
  <si>
    <t>Settlement within the top 5 deprived areas for Aberdeenshire based on the MEAN Average of all their SIMD Data Zones.</t>
  </si>
  <si>
    <t>Density of on-sales premises within the settlement (incl. premises selling both) compared to the previous Scottish National Average of 26.5 per 10,000 of population (over the age of 18).</t>
  </si>
  <si>
    <t xml:space="preserve">0.20 m2 or more per person </t>
  </si>
  <si>
    <t xml:space="preserve">Below average level of availability </t>
  </si>
  <si>
    <t>Removal of Members Clubs from totals and change in scoring criteria plus increase in the High Availability Trigger from 70.00% to 75.00%.</t>
  </si>
  <si>
    <t>Availability of alcohol at a high level (75% + of overall score).</t>
  </si>
  <si>
    <t>Availability of alcohol is above the average level (56-74% of overall score).</t>
  </si>
  <si>
    <t>Availability of alcohol is at an average level (45-55% of overall score).</t>
  </si>
  <si>
    <t>Availability of alcohol is below the average level (26-44 % of overall score).</t>
  </si>
  <si>
    <t>Availability of alcohol at a low level (0 - 25% of overall score).</t>
  </si>
  <si>
    <t>Settlement within the top 5 highest rates for Aberdeenshire based on the MEAN Average of all their SIMD Data Zones.</t>
  </si>
  <si>
    <t>Settlement has an SIMD Data Zone with an Alcohol-Related Hospitalisation Rate and Drug-Related Hospitalisation Rate of 70% of the Scottish National Average in both categories.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</si>
</sst>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66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rgb="FFFF0066"/>
      <name val="Arial"/>
      <family val="2"/>
    </font>
    <font>
      <sz val="11"/>
      <color rgb="FF7030A0"/>
      <name val="Arial"/>
      <family val="2"/>
    </font>
    <font>
      <sz val="11"/>
      <color theme="9" tint="-0.249977111117893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4D2F2"/>
        <bgColor indexed="64"/>
      </patternFill>
    </fill>
    <fill>
      <patternFill patternType="solid">
        <fgColor rgb="FFFFCDE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rgb="FFFFA3A3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EAF3FA"/>
        <bgColor indexed="64"/>
      </patternFill>
    </fill>
    <fill>
      <patternFill patternType="solid">
        <fgColor rgb="FFFFBDBD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12" borderId="6" xfId="0" applyFont="1" applyFill="1" applyBorder="1" applyAlignment="1">
      <alignment horizontal="left"/>
    </xf>
    <xf numFmtId="0" fontId="2" fillId="0" borderId="39" xfId="0" applyFont="1" applyBorder="1"/>
    <xf numFmtId="0" fontId="2" fillId="0" borderId="0" xfId="0" applyFont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9" fillId="0" borderId="0" xfId="0" applyFont="1"/>
    <xf numFmtId="2" fontId="9" fillId="0" borderId="9" xfId="0" applyNumberFormat="1" applyFont="1" applyBorder="1" applyAlignment="1">
      <alignment horizontal="center"/>
    </xf>
    <xf numFmtId="0" fontId="9" fillId="0" borderId="9" xfId="0" applyFont="1" applyBorder="1"/>
    <xf numFmtId="2" fontId="9" fillId="0" borderId="11" xfId="0" applyNumberFormat="1" applyFont="1" applyBorder="1" applyAlignment="1">
      <alignment horizontal="center"/>
    </xf>
    <xf numFmtId="0" fontId="9" fillId="0" borderId="11" xfId="0" applyFont="1" applyBorder="1"/>
    <xf numFmtId="0" fontId="10" fillId="6" borderId="11" xfId="0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/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0" fillId="2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3" fillId="0" borderId="0" xfId="0" applyFont="1"/>
    <xf numFmtId="0" fontId="12" fillId="0" borderId="0" xfId="0" applyFont="1"/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4" fillId="0" borderId="0" xfId="0" applyFont="1"/>
    <xf numFmtId="0" fontId="14" fillId="0" borderId="1" xfId="0" applyFont="1" applyBorder="1" applyAlignment="1">
      <alignment horizontal="center"/>
    </xf>
    <xf numFmtId="0" fontId="16" fillId="0" borderId="0" xfId="0" applyFont="1"/>
    <xf numFmtId="0" fontId="17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27" xfId="0" applyFont="1" applyBorder="1"/>
    <xf numFmtId="0" fontId="9" fillId="0" borderId="27" xfId="0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/>
    </xf>
    <xf numFmtId="0" fontId="18" fillId="2" borderId="1" xfId="0" applyFont="1" applyFill="1" applyBorder="1" applyAlignment="1">
      <alignment vertical="center"/>
    </xf>
    <xf numFmtId="0" fontId="9" fillId="17" borderId="1" xfId="0" applyFont="1" applyFill="1" applyBorder="1"/>
    <xf numFmtId="0" fontId="9" fillId="21" borderId="1" xfId="0" applyFont="1" applyFill="1" applyBorder="1"/>
    <xf numFmtId="0" fontId="9" fillId="12" borderId="1" xfId="0" applyFont="1" applyFill="1" applyBorder="1"/>
    <xf numFmtId="0" fontId="9" fillId="3" borderId="1" xfId="0" applyFont="1" applyFill="1" applyBorder="1"/>
    <xf numFmtId="0" fontId="9" fillId="8" borderId="1" xfId="0" applyFont="1" applyFill="1" applyBorder="1"/>
    <xf numFmtId="0" fontId="12" fillId="0" borderId="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2" fontId="9" fillId="0" borderId="53" xfId="0" applyNumberFormat="1" applyFont="1" applyBorder="1" applyAlignment="1">
      <alignment horizontal="center"/>
    </xf>
    <xf numFmtId="2" fontId="12" fillId="0" borderId="53" xfId="0" applyNumberFormat="1" applyFont="1" applyBorder="1" applyAlignment="1">
      <alignment horizontal="center"/>
    </xf>
    <xf numFmtId="0" fontId="9" fillId="8" borderId="51" xfId="0" applyFont="1" applyFill="1" applyBorder="1" applyAlignment="1">
      <alignment horizontal="center"/>
    </xf>
    <xf numFmtId="0" fontId="9" fillId="0" borderId="5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2" fontId="9" fillId="0" borderId="54" xfId="0" applyNumberFormat="1" applyFont="1" applyBorder="1" applyAlignment="1">
      <alignment horizontal="center"/>
    </xf>
    <xf numFmtId="2" fontId="12" fillId="0" borderId="50" xfId="0" applyNumberFormat="1" applyFont="1" applyBorder="1" applyAlignment="1">
      <alignment horizontal="center"/>
    </xf>
    <xf numFmtId="0" fontId="9" fillId="8" borderId="58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/>
    </xf>
    <xf numFmtId="0" fontId="9" fillId="0" borderId="46" xfId="0" applyFont="1" applyBorder="1" applyAlignment="1">
      <alignment horizontal="center" vertical="center"/>
    </xf>
    <xf numFmtId="3" fontId="9" fillId="0" borderId="5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4" fontId="9" fillId="0" borderId="48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/>
    </xf>
    <xf numFmtId="2" fontId="12" fillId="0" borderId="57" xfId="0" applyNumberFormat="1" applyFont="1" applyBorder="1" applyAlignment="1">
      <alignment horizontal="center"/>
    </xf>
    <xf numFmtId="0" fontId="9" fillId="8" borderId="59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7" borderId="0" xfId="0" applyFont="1" applyFill="1" applyAlignment="1">
      <alignment horizontal="center"/>
    </xf>
    <xf numFmtId="0" fontId="9" fillId="0" borderId="0" xfId="0" applyFont="1" applyAlignment="1">
      <alignment vertical="center"/>
    </xf>
    <xf numFmtId="2" fontId="9" fillId="0" borderId="24" xfId="0" applyNumberFormat="1" applyFont="1" applyBorder="1" applyAlignment="1">
      <alignment horizontal="center"/>
    </xf>
    <xf numFmtId="0" fontId="9" fillId="10" borderId="9" xfId="0" applyFont="1" applyFill="1" applyBorder="1" applyAlignment="1">
      <alignment horizontal="center"/>
    </xf>
    <xf numFmtId="0" fontId="9" fillId="10" borderId="15" xfId="0" applyFont="1" applyFill="1" applyBorder="1" applyAlignment="1">
      <alignment horizontal="center"/>
    </xf>
    <xf numFmtId="164" fontId="9" fillId="10" borderId="15" xfId="0" applyNumberFormat="1" applyFont="1" applyFill="1" applyBorder="1" applyAlignment="1">
      <alignment horizontal="center"/>
    </xf>
    <xf numFmtId="2" fontId="9" fillId="10" borderId="15" xfId="0" applyNumberFormat="1" applyFont="1" applyFill="1" applyBorder="1" applyAlignment="1">
      <alignment horizontal="center"/>
    </xf>
    <xf numFmtId="2" fontId="9" fillId="10" borderId="10" xfId="0" applyNumberFormat="1" applyFont="1" applyFill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12" fillId="0" borderId="9" xfId="0" applyNumberFormat="1" applyFont="1" applyBorder="1" applyAlignment="1">
      <alignment horizontal="center" vertical="center"/>
    </xf>
    <xf numFmtId="2" fontId="9" fillId="10" borderId="1" xfId="0" applyNumberFormat="1" applyFont="1" applyFill="1" applyBorder="1" applyAlignment="1">
      <alignment horizontal="center"/>
    </xf>
    <xf numFmtId="2" fontId="9" fillId="10" borderId="12" xfId="0" applyNumberFormat="1" applyFont="1" applyFill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 vertical="center"/>
    </xf>
    <xf numFmtId="164" fontId="9" fillId="10" borderId="1" xfId="0" applyNumberFormat="1" applyFont="1" applyFill="1" applyBorder="1" applyAlignment="1">
      <alignment horizontal="center"/>
    </xf>
    <xf numFmtId="2" fontId="9" fillId="10" borderId="8" xfId="0" applyNumberFormat="1" applyFont="1" applyFill="1" applyBorder="1" applyAlignment="1">
      <alignment horizontal="center"/>
    </xf>
    <xf numFmtId="2" fontId="9" fillId="0" borderId="50" xfId="0" applyNumberFormat="1" applyFont="1" applyBorder="1" applyAlignment="1">
      <alignment horizontal="center"/>
    </xf>
    <xf numFmtId="2" fontId="12" fillId="0" borderId="50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/>
    </xf>
    <xf numFmtId="0" fontId="9" fillId="10" borderId="13" xfId="0" applyFont="1" applyFill="1" applyBorder="1" applyAlignment="1">
      <alignment horizontal="center"/>
    </xf>
    <xf numFmtId="0" fontId="9" fillId="10" borderId="16" xfId="0" applyFont="1" applyFill="1" applyBorder="1" applyAlignment="1">
      <alignment horizontal="center"/>
    </xf>
    <xf numFmtId="164" fontId="9" fillId="10" borderId="16" xfId="0" applyNumberFormat="1" applyFont="1" applyFill="1" applyBorder="1" applyAlignment="1">
      <alignment horizontal="center"/>
    </xf>
    <xf numFmtId="2" fontId="9" fillId="10" borderId="16" xfId="0" applyNumberFormat="1" applyFont="1" applyFill="1" applyBorder="1" applyAlignment="1">
      <alignment horizontal="center"/>
    </xf>
    <xf numFmtId="2" fontId="9" fillId="10" borderId="14" xfId="0" applyNumberFormat="1" applyFont="1" applyFill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 vertical="center"/>
    </xf>
    <xf numFmtId="0" fontId="9" fillId="10" borderId="1" xfId="0" applyFont="1" applyFill="1" applyBorder="1"/>
    <xf numFmtId="0" fontId="12" fillId="0" borderId="1" xfId="0" applyFont="1" applyBorder="1" applyAlignment="1">
      <alignment vertical="center"/>
    </xf>
    <xf numFmtId="0" fontId="9" fillId="2" borderId="9" xfId="0" applyFont="1" applyFill="1" applyBorder="1" applyAlignment="1">
      <alignment horizontal="center"/>
    </xf>
    <xf numFmtId="2" fontId="9" fillId="7" borderId="22" xfId="0" applyNumberFormat="1" applyFont="1" applyFill="1" applyBorder="1" applyAlignment="1">
      <alignment horizontal="center"/>
    </xf>
    <xf numFmtId="0" fontId="9" fillId="9" borderId="15" xfId="0" applyFont="1" applyFill="1" applyBorder="1" applyAlignment="1">
      <alignment horizontal="center"/>
    </xf>
    <xf numFmtId="2" fontId="9" fillId="7" borderId="15" xfId="0" applyNumberFormat="1" applyFont="1" applyFill="1" applyBorder="1" applyAlignment="1">
      <alignment horizontal="center"/>
    </xf>
    <xf numFmtId="0" fontId="9" fillId="19" borderId="15" xfId="0" applyFont="1" applyFill="1" applyBorder="1" applyAlignment="1">
      <alignment horizontal="center"/>
    </xf>
    <xf numFmtId="2" fontId="9" fillId="7" borderId="24" xfId="0" applyNumberFormat="1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" fontId="19" fillId="0" borderId="24" xfId="0" applyNumberFormat="1" applyFont="1" applyBorder="1" applyAlignment="1">
      <alignment horizontal="center"/>
    </xf>
    <xf numFmtId="164" fontId="12" fillId="2" borderId="9" xfId="0" applyNumberFormat="1" applyFont="1" applyFill="1" applyBorder="1" applyAlignment="1">
      <alignment horizontal="center"/>
    </xf>
    <xf numFmtId="164" fontId="9" fillId="2" borderId="15" xfId="0" applyNumberFormat="1" applyFont="1" applyFill="1" applyBorder="1" applyAlignment="1">
      <alignment horizontal="center"/>
    </xf>
    <xf numFmtId="164" fontId="9" fillId="9" borderId="15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2" fontId="9" fillId="7" borderId="2" xfId="0" applyNumberFormat="1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2" fontId="9" fillId="7" borderId="1" xfId="0" applyNumberFormat="1" applyFont="1" applyFill="1" applyBorder="1" applyAlignment="1">
      <alignment horizontal="center"/>
    </xf>
    <xf numFmtId="0" fontId="9" fillId="19" borderId="1" xfId="0" applyFont="1" applyFill="1" applyBorder="1" applyAlignment="1">
      <alignment horizontal="center"/>
    </xf>
    <xf numFmtId="2" fontId="9" fillId="7" borderId="8" xfId="0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1" fontId="21" fillId="0" borderId="8" xfId="0" applyNumberFormat="1" applyFont="1" applyBorder="1" applyAlignment="1">
      <alignment horizontal="center"/>
    </xf>
    <xf numFmtId="164" fontId="9" fillId="2" borderId="1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12" fillId="9" borderId="1" xfId="0" applyNumberFormat="1" applyFont="1" applyFill="1" applyBorder="1" applyAlignment="1">
      <alignment horizontal="center"/>
    </xf>
    <xf numFmtId="164" fontId="9" fillId="9" borderId="1" xfId="0" applyNumberFormat="1" applyFont="1" applyFill="1" applyBorder="1" applyAlignment="1">
      <alignment horizontal="center"/>
    </xf>
    <xf numFmtId="0" fontId="9" fillId="10" borderId="11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1" fontId="19" fillId="0" borderId="8" xfId="0" applyNumberFormat="1" applyFont="1" applyBorder="1" applyAlignment="1">
      <alignment horizontal="center"/>
    </xf>
    <xf numFmtId="164" fontId="12" fillId="2" borderId="11" xfId="0" applyNumberFormat="1" applyFont="1" applyFill="1" applyBorder="1" applyAlignment="1">
      <alignment horizontal="center"/>
    </xf>
    <xf numFmtId="1" fontId="20" fillId="0" borderId="8" xfId="0" applyNumberFormat="1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2" fontId="9" fillId="7" borderId="23" xfId="0" applyNumberFormat="1" applyFont="1" applyFill="1" applyBorder="1" applyAlignment="1">
      <alignment horizontal="center"/>
    </xf>
    <xf numFmtId="0" fontId="9" fillId="9" borderId="16" xfId="0" applyFont="1" applyFill="1" applyBorder="1" applyAlignment="1">
      <alignment horizontal="center"/>
    </xf>
    <xf numFmtId="2" fontId="9" fillId="7" borderId="16" xfId="0" applyNumberFormat="1" applyFont="1" applyFill="1" applyBorder="1" applyAlignment="1">
      <alignment horizontal="center"/>
    </xf>
    <xf numFmtId="0" fontId="9" fillId="19" borderId="16" xfId="0" applyFont="1" applyFill="1" applyBorder="1" applyAlignment="1">
      <alignment horizontal="center"/>
    </xf>
    <xf numFmtId="2" fontId="9" fillId="7" borderId="25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1" fontId="19" fillId="0" borderId="25" xfId="0" applyNumberFormat="1" applyFont="1" applyBorder="1" applyAlignment="1">
      <alignment horizontal="center"/>
    </xf>
    <xf numFmtId="164" fontId="9" fillId="2" borderId="13" xfId="0" applyNumberFormat="1" applyFont="1" applyFill="1" applyBorder="1" applyAlignment="1">
      <alignment horizontal="center"/>
    </xf>
    <xf numFmtId="164" fontId="9" fillId="2" borderId="16" xfId="0" applyNumberFormat="1" applyFont="1" applyFill="1" applyBorder="1" applyAlignment="1">
      <alignment horizontal="center"/>
    </xf>
    <xf numFmtId="164" fontId="9" fillId="9" borderId="16" xfId="0" applyNumberFormat="1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2" fillId="19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1" xfId="0" applyFont="1" applyBorder="1" applyAlignment="1">
      <alignment horizont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2" fontId="9" fillId="8" borderId="51" xfId="0" applyNumberFormat="1" applyFont="1" applyFill="1" applyBorder="1" applyAlignment="1">
      <alignment horizontal="center"/>
    </xf>
    <xf numFmtId="0" fontId="9" fillId="0" borderId="5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2" fontId="9" fillId="8" borderId="58" xfId="0" applyNumberFormat="1" applyFont="1" applyFill="1" applyBorder="1" applyAlignment="1">
      <alignment horizontal="center"/>
    </xf>
    <xf numFmtId="2" fontId="9" fillId="3" borderId="58" xfId="0" applyNumberFormat="1" applyFont="1" applyFill="1" applyBorder="1" applyAlignment="1">
      <alignment horizontal="center"/>
    </xf>
    <xf numFmtId="0" fontId="9" fillId="2" borderId="58" xfId="0" applyFont="1" applyFill="1" applyBorder="1" applyAlignment="1">
      <alignment horizontal="center" vertical="center"/>
    </xf>
    <xf numFmtId="0" fontId="9" fillId="24" borderId="58" xfId="0" applyFont="1" applyFill="1" applyBorder="1" applyAlignment="1">
      <alignment horizontal="center"/>
    </xf>
    <xf numFmtId="0" fontId="9" fillId="5" borderId="58" xfId="0" applyFont="1" applyFill="1" applyBorder="1" applyAlignment="1">
      <alignment horizontal="center"/>
    </xf>
    <xf numFmtId="0" fontId="22" fillId="8" borderId="58" xfId="0" applyFont="1" applyFill="1" applyBorder="1" applyAlignment="1">
      <alignment horizontal="center"/>
    </xf>
    <xf numFmtId="3" fontId="9" fillId="0" borderId="58" xfId="0" applyNumberFormat="1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2" fontId="9" fillId="0" borderId="57" xfId="0" applyNumberFormat="1" applyFont="1" applyBorder="1" applyAlignment="1">
      <alignment horizontal="center"/>
    </xf>
    <xf numFmtId="0" fontId="9" fillId="3" borderId="59" xfId="0" applyFont="1" applyFill="1" applyBorder="1" applyAlignment="1">
      <alignment horizontal="center"/>
    </xf>
    <xf numFmtId="0" fontId="12" fillId="2" borderId="1" xfId="0" applyFont="1" applyFill="1" applyBorder="1" applyAlignment="1">
      <alignment vertical="center"/>
    </xf>
    <xf numFmtId="0" fontId="12" fillId="12" borderId="5" xfId="0" applyFont="1" applyFill="1" applyBorder="1"/>
    <xf numFmtId="0" fontId="14" fillId="0" borderId="2" xfId="0" applyFont="1" applyBorder="1" applyAlignment="1">
      <alignment horizontal="center"/>
    </xf>
    <xf numFmtId="16" fontId="14" fillId="0" borderId="2" xfId="0" applyNumberFormat="1" applyFont="1" applyBorder="1" applyAlignment="1">
      <alignment horizontal="center"/>
    </xf>
    <xf numFmtId="16" fontId="14" fillId="0" borderId="1" xfId="0" applyNumberFormat="1" applyFont="1" applyBorder="1" applyAlignment="1">
      <alignment horizontal="center"/>
    </xf>
    <xf numFmtId="0" fontId="15" fillId="0" borderId="0" xfId="0" applyFont="1" applyAlignment="1">
      <alignment vertical="center"/>
    </xf>
    <xf numFmtId="9" fontId="14" fillId="12" borderId="1" xfId="0" applyNumberFormat="1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0" fontId="14" fillId="12" borderId="2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2" fontId="25" fillId="13" borderId="1" xfId="0" applyNumberFormat="1" applyFont="1" applyFill="1" applyBorder="1" applyAlignment="1">
      <alignment horizontal="center" vertical="center"/>
    </xf>
    <xf numFmtId="2" fontId="25" fillId="6" borderId="1" xfId="0" applyNumberFormat="1" applyFont="1" applyFill="1" applyBorder="1" applyAlignment="1">
      <alignment horizontal="center" vertical="center"/>
    </xf>
    <xf numFmtId="0" fontId="12" fillId="12" borderId="5" xfId="0" applyFont="1" applyFill="1" applyBorder="1" applyAlignment="1">
      <alignment horizontal="left"/>
    </xf>
    <xf numFmtId="0" fontId="14" fillId="0" borderId="18" xfId="0" applyFont="1" applyBorder="1" applyAlignment="1">
      <alignment horizontal="center"/>
    </xf>
    <xf numFmtId="0" fontId="26" fillId="18" borderId="3" xfId="0" applyFont="1" applyFill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9" fontId="14" fillId="0" borderId="4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18" borderId="3" xfId="0" applyFont="1" applyFill="1" applyBorder="1" applyAlignment="1">
      <alignment horizontal="center"/>
    </xf>
    <xf numFmtId="0" fontId="9" fillId="12" borderId="6" xfId="0" applyFont="1" applyFill="1" applyBorder="1"/>
    <xf numFmtId="0" fontId="9" fillId="12" borderId="7" xfId="0" applyFont="1" applyFill="1" applyBorder="1"/>
    <xf numFmtId="0" fontId="15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4" fillId="12" borderId="8" xfId="0" applyFont="1" applyFill="1" applyBorder="1"/>
    <xf numFmtId="0" fontId="14" fillId="12" borderId="17" xfId="0" applyFont="1" applyFill="1" applyBorder="1"/>
    <xf numFmtId="0" fontId="14" fillId="12" borderId="2" xfId="0" applyFont="1" applyFill="1" applyBorder="1"/>
    <xf numFmtId="0" fontId="10" fillId="0" borderId="0" xfId="0" applyFont="1"/>
    <xf numFmtId="2" fontId="9" fillId="0" borderId="0" xfId="0" applyNumberFormat="1" applyFont="1"/>
    <xf numFmtId="2" fontId="9" fillId="0" borderId="0" xfId="0" applyNumberFormat="1" applyFont="1" applyAlignment="1">
      <alignment horizontal="center"/>
    </xf>
    <xf numFmtId="2" fontId="10" fillId="0" borderId="0" xfId="0" applyNumberFormat="1" applyFont="1"/>
    <xf numFmtId="0" fontId="7" fillId="0" borderId="0" xfId="0" applyFont="1" applyAlignment="1">
      <alignment vertical="center"/>
    </xf>
    <xf numFmtId="0" fontId="15" fillId="0" borderId="0" xfId="0" applyFont="1"/>
    <xf numFmtId="0" fontId="9" fillId="0" borderId="1" xfId="0" applyFont="1" applyBorder="1" applyAlignment="1">
      <alignment vertical="center"/>
    </xf>
    <xf numFmtId="0" fontId="10" fillId="29" borderId="11" xfId="0" applyFont="1" applyFill="1" applyBorder="1" applyAlignment="1">
      <alignment horizontal="center"/>
    </xf>
    <xf numFmtId="0" fontId="10" fillId="30" borderId="9" xfId="0" applyFont="1" applyFill="1" applyBorder="1" applyAlignment="1">
      <alignment horizontal="center"/>
    </xf>
    <xf numFmtId="0" fontId="10" fillId="30" borderId="11" xfId="0" applyFont="1" applyFill="1" applyBorder="1" applyAlignment="1">
      <alignment horizontal="center"/>
    </xf>
    <xf numFmtId="0" fontId="12" fillId="31" borderId="3" xfId="0" applyFont="1" applyFill="1" applyBorder="1" applyAlignment="1">
      <alignment horizontal="center" vertical="center" wrapText="1"/>
    </xf>
    <xf numFmtId="0" fontId="12" fillId="32" borderId="3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/>
    </xf>
    <xf numFmtId="0" fontId="12" fillId="33" borderId="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9" fillId="26" borderId="58" xfId="0" applyFont="1" applyFill="1" applyBorder="1" applyAlignment="1">
      <alignment horizontal="center"/>
    </xf>
    <xf numFmtId="0" fontId="9" fillId="27" borderId="58" xfId="0" applyFont="1" applyFill="1" applyBorder="1" applyAlignment="1">
      <alignment horizontal="center"/>
    </xf>
    <xf numFmtId="2" fontId="12" fillId="0" borderId="53" xfId="0" applyNumberFormat="1" applyFont="1" applyBorder="1" applyAlignment="1">
      <alignment horizontal="center" vertical="center"/>
    </xf>
    <xf numFmtId="2" fontId="12" fillId="0" borderId="57" xfId="0" applyNumberFormat="1" applyFont="1" applyBorder="1" applyAlignment="1">
      <alignment horizontal="center" vertical="center"/>
    </xf>
    <xf numFmtId="0" fontId="0" fillId="8" borderId="44" xfId="0" applyFill="1" applyBorder="1"/>
    <xf numFmtId="0" fontId="9" fillId="25" borderId="58" xfId="0" applyFont="1" applyFill="1" applyBorder="1" applyAlignment="1">
      <alignment horizontal="center"/>
    </xf>
    <xf numFmtId="0" fontId="9" fillId="28" borderId="58" xfId="0" applyFont="1" applyFill="1" applyBorder="1" applyAlignment="1">
      <alignment horizontal="center"/>
    </xf>
    <xf numFmtId="0" fontId="9" fillId="33" borderId="58" xfId="0" applyFont="1" applyFill="1" applyBorder="1" applyAlignment="1">
      <alignment horizontal="center"/>
    </xf>
    <xf numFmtId="2" fontId="9" fillId="33" borderId="58" xfId="0" applyNumberFormat="1" applyFont="1" applyFill="1" applyBorder="1" applyAlignment="1">
      <alignment horizontal="center"/>
    </xf>
    <xf numFmtId="0" fontId="10" fillId="30" borderId="13" xfId="0" applyFont="1" applyFill="1" applyBorder="1" applyAlignment="1">
      <alignment horizontal="center"/>
    </xf>
    <xf numFmtId="0" fontId="11" fillId="22" borderId="11" xfId="0" applyFont="1" applyFill="1" applyBorder="1" applyAlignment="1">
      <alignment horizontal="center"/>
    </xf>
    <xf numFmtId="0" fontId="11" fillId="23" borderId="11" xfId="0" applyFont="1" applyFill="1" applyBorder="1" applyAlignment="1">
      <alignment horizontal="center"/>
    </xf>
    <xf numFmtId="0" fontId="12" fillId="23" borderId="11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2" fillId="12" borderId="30" xfId="0" applyFont="1" applyFill="1" applyBorder="1" applyAlignment="1">
      <alignment horizontal="left"/>
    </xf>
    <xf numFmtId="0" fontId="12" fillId="12" borderId="31" xfId="0" applyFont="1" applyFill="1" applyBorder="1" applyAlignment="1">
      <alignment horizontal="left"/>
    </xf>
    <xf numFmtId="0" fontId="12" fillId="12" borderId="32" xfId="0" applyFont="1" applyFill="1" applyBorder="1" applyAlignment="1">
      <alignment horizontal="left"/>
    </xf>
    <xf numFmtId="0" fontId="15" fillId="23" borderId="1" xfId="0" applyFont="1" applyFill="1" applyBorder="1" applyAlignment="1">
      <alignment horizontal="center" vertical="center"/>
    </xf>
    <xf numFmtId="0" fontId="15" fillId="23" borderId="18" xfId="0" applyFont="1" applyFill="1" applyBorder="1" applyAlignment="1">
      <alignment horizontal="center" vertical="center"/>
    </xf>
    <xf numFmtId="0" fontId="15" fillId="23" borderId="19" xfId="0" applyFont="1" applyFill="1" applyBorder="1" applyAlignment="1">
      <alignment horizontal="center" vertical="center"/>
    </xf>
    <xf numFmtId="0" fontId="15" fillId="23" borderId="20" xfId="0" applyFont="1" applyFill="1" applyBorder="1" applyAlignment="1">
      <alignment horizontal="center" vertical="center"/>
    </xf>
    <xf numFmtId="0" fontId="15" fillId="22" borderId="1" xfId="0" applyFont="1" applyFill="1" applyBorder="1" applyAlignment="1">
      <alignment horizontal="center" vertical="center"/>
    </xf>
    <xf numFmtId="0" fontId="15" fillId="2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12" borderId="8" xfId="0" applyFont="1" applyFill="1" applyBorder="1" applyAlignment="1">
      <alignment horizontal="center"/>
    </xf>
    <xf numFmtId="0" fontId="14" fillId="12" borderId="17" xfId="0" applyFont="1" applyFill="1" applyBorder="1" applyAlignment="1">
      <alignment horizontal="center"/>
    </xf>
    <xf numFmtId="0" fontId="14" fillId="12" borderId="2" xfId="0" applyFont="1" applyFill="1" applyBorder="1" applyAlignment="1">
      <alignment horizontal="center"/>
    </xf>
    <xf numFmtId="9" fontId="15" fillId="23" borderId="1" xfId="0" applyNumberFormat="1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9" fontId="15" fillId="23" borderId="17" xfId="0" applyNumberFormat="1" applyFont="1" applyFill="1" applyBorder="1" applyAlignment="1">
      <alignment horizontal="left" wrapText="1"/>
    </xf>
    <xf numFmtId="9" fontId="15" fillId="23" borderId="2" xfId="0" applyNumberFormat="1" applyFont="1" applyFill="1" applyBorder="1" applyAlignment="1">
      <alignment horizontal="left" wrapText="1"/>
    </xf>
    <xf numFmtId="0" fontId="15" fillId="22" borderId="17" xfId="0" applyFont="1" applyFill="1" applyBorder="1" applyAlignment="1">
      <alignment horizontal="left" vertical="center" wrapText="1"/>
    </xf>
    <xf numFmtId="0" fontId="15" fillId="22" borderId="2" xfId="0" applyFont="1" applyFill="1" applyBorder="1" applyAlignment="1">
      <alignment horizontal="left" vertical="center" wrapText="1"/>
    </xf>
    <xf numFmtId="0" fontId="12" fillId="12" borderId="5" xfId="0" applyFont="1" applyFill="1" applyBorder="1" applyAlignment="1">
      <alignment horizontal="left"/>
    </xf>
    <xf numFmtId="0" fontId="12" fillId="12" borderId="6" xfId="0" applyFont="1" applyFill="1" applyBorder="1" applyAlignment="1">
      <alignment horizontal="left"/>
    </xf>
    <xf numFmtId="0" fontId="12" fillId="12" borderId="7" xfId="0" applyFont="1" applyFill="1" applyBorder="1" applyAlignment="1">
      <alignment horizontal="left"/>
    </xf>
    <xf numFmtId="0" fontId="15" fillId="23" borderId="1" xfId="0" applyFont="1" applyFill="1" applyBorder="1" applyAlignment="1">
      <alignment vertical="center" wrapText="1"/>
    </xf>
    <xf numFmtId="0" fontId="14" fillId="0" borderId="60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47" xfId="0" applyFont="1" applyBorder="1" applyAlignment="1">
      <alignment horizontal="left"/>
    </xf>
    <xf numFmtId="0" fontId="14" fillId="0" borderId="48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0" fontId="14" fillId="8" borderId="40" xfId="0" applyFont="1" applyFill="1" applyBorder="1" applyAlignment="1">
      <alignment horizontal="center"/>
    </xf>
    <xf numFmtId="0" fontId="14" fillId="8" borderId="49" xfId="0" applyFont="1" applyFill="1" applyBorder="1" applyAlignment="1">
      <alignment horizontal="center"/>
    </xf>
    <xf numFmtId="0" fontId="15" fillId="22" borderId="18" xfId="0" applyFont="1" applyFill="1" applyBorder="1" applyAlignment="1">
      <alignment horizontal="center" vertical="center"/>
    </xf>
    <xf numFmtId="0" fontId="15" fillId="22" borderId="19" xfId="0" applyFont="1" applyFill="1" applyBorder="1" applyAlignment="1">
      <alignment horizontal="center" vertical="center"/>
    </xf>
    <xf numFmtId="0" fontId="15" fillId="22" borderId="20" xfId="0" applyFont="1" applyFill="1" applyBorder="1" applyAlignment="1">
      <alignment horizontal="center" vertical="center"/>
    </xf>
    <xf numFmtId="0" fontId="15" fillId="22" borderId="1" xfId="0" applyFont="1" applyFill="1" applyBorder="1" applyAlignment="1">
      <alignment horizontal="left" wrapText="1"/>
    </xf>
    <xf numFmtId="0" fontId="14" fillId="0" borderId="30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14" fillId="5" borderId="42" xfId="0" applyFont="1" applyFill="1" applyBorder="1" applyAlignment="1">
      <alignment horizontal="center"/>
    </xf>
    <xf numFmtId="0" fontId="14" fillId="5" borderId="32" xfId="0" applyFont="1" applyFill="1" applyBorder="1" applyAlignment="1">
      <alignment horizontal="center"/>
    </xf>
    <xf numFmtId="0" fontId="14" fillId="0" borderId="43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14" fillId="4" borderId="45" xfId="0" applyFont="1" applyFill="1" applyBorder="1" applyAlignment="1">
      <alignment horizontal="center"/>
    </xf>
    <xf numFmtId="0" fontId="14" fillId="4" borderId="46" xfId="0" applyFont="1" applyFill="1" applyBorder="1" applyAlignment="1">
      <alignment horizontal="center"/>
    </xf>
    <xf numFmtId="0" fontId="14" fillId="3" borderId="42" xfId="0" applyFont="1" applyFill="1" applyBorder="1" applyAlignment="1">
      <alignment horizontal="center"/>
    </xf>
    <xf numFmtId="0" fontId="14" fillId="3" borderId="32" xfId="0" applyFont="1" applyFill="1" applyBorder="1" applyAlignment="1">
      <alignment horizontal="center"/>
    </xf>
    <xf numFmtId="0" fontId="14" fillId="0" borderId="33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4" fillId="0" borderId="40" xfId="0" applyFont="1" applyBorder="1" applyAlignment="1">
      <alignment horizontal="left"/>
    </xf>
    <xf numFmtId="2" fontId="25" fillId="6" borderId="41" xfId="0" applyNumberFormat="1" applyFont="1" applyFill="1" applyBorder="1" applyAlignment="1">
      <alignment horizontal="center" vertical="center"/>
    </xf>
    <xf numFmtId="2" fontId="25" fillId="6" borderId="34" xfId="0" applyNumberFormat="1" applyFont="1" applyFill="1" applyBorder="1" applyAlignment="1">
      <alignment horizontal="center" vertical="center"/>
    </xf>
    <xf numFmtId="0" fontId="25" fillId="18" borderId="30" xfId="0" applyFont="1" applyFill="1" applyBorder="1" applyAlignment="1">
      <alignment horizontal="left"/>
    </xf>
    <xf numFmtId="0" fontId="25" fillId="18" borderId="31" xfId="0" applyFont="1" applyFill="1" applyBorder="1" applyAlignment="1">
      <alignment horizontal="left"/>
    </xf>
    <xf numFmtId="0" fontId="25" fillId="18" borderId="35" xfId="0" applyFont="1" applyFill="1" applyBorder="1" applyAlignment="1">
      <alignment horizontal="left"/>
    </xf>
    <xf numFmtId="0" fontId="25" fillId="18" borderId="42" xfId="0" applyFont="1" applyFill="1" applyBorder="1" applyAlignment="1">
      <alignment horizontal="center"/>
    </xf>
    <xf numFmtId="0" fontId="25" fillId="18" borderId="32" xfId="0" applyFont="1" applyFill="1" applyBorder="1" applyAlignment="1">
      <alignment horizontal="center"/>
    </xf>
    <xf numFmtId="0" fontId="14" fillId="16" borderId="45" xfId="0" applyFont="1" applyFill="1" applyBorder="1" applyAlignment="1">
      <alignment horizontal="center"/>
    </xf>
    <xf numFmtId="0" fontId="14" fillId="16" borderId="46" xfId="0" applyFont="1" applyFill="1" applyBorder="1" applyAlignment="1">
      <alignment horizontal="center"/>
    </xf>
    <xf numFmtId="0" fontId="10" fillId="15" borderId="5" xfId="0" applyFont="1" applyFill="1" applyBorder="1" applyAlignment="1">
      <alignment horizontal="left"/>
    </xf>
    <xf numFmtId="0" fontId="10" fillId="15" borderId="6" xfId="0" applyFont="1" applyFill="1" applyBorder="1" applyAlignment="1">
      <alignment horizontal="left"/>
    </xf>
    <xf numFmtId="0" fontId="10" fillId="15" borderId="7" xfId="0" applyFont="1" applyFill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2" fontId="25" fillId="13" borderId="35" xfId="0" applyNumberFormat="1" applyFont="1" applyFill="1" applyBorder="1" applyAlignment="1">
      <alignment horizontal="center" vertical="center"/>
    </xf>
    <xf numFmtId="2" fontId="25" fillId="13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12" borderId="5" xfId="0" applyFont="1" applyFill="1" applyBorder="1"/>
    <xf numFmtId="0" fontId="12" fillId="12" borderId="6" xfId="0" applyFont="1" applyFill="1" applyBorder="1"/>
    <xf numFmtId="0" fontId="12" fillId="12" borderId="7" xfId="0" applyFont="1" applyFill="1" applyBorder="1"/>
    <xf numFmtId="0" fontId="14" fillId="0" borderId="0" xfId="0" applyFont="1" applyAlignment="1">
      <alignment horizontal="center"/>
    </xf>
    <xf numFmtId="0" fontId="23" fillId="14" borderId="5" xfId="0" applyFont="1" applyFill="1" applyBorder="1" applyAlignment="1">
      <alignment horizontal="left" vertical="center"/>
    </xf>
    <xf numFmtId="0" fontId="23" fillId="14" borderId="6" xfId="0" applyFont="1" applyFill="1" applyBorder="1" applyAlignment="1">
      <alignment horizontal="left" vertical="center"/>
    </xf>
    <xf numFmtId="0" fontId="23" fillId="14" borderId="7" xfId="0" applyFont="1" applyFill="1" applyBorder="1" applyAlignment="1">
      <alignment horizontal="left" vertical="center"/>
    </xf>
    <xf numFmtId="0" fontId="10" fillId="15" borderId="5" xfId="0" applyFont="1" applyFill="1" applyBorder="1" applyAlignment="1">
      <alignment horizontal="left" vertical="center"/>
    </xf>
    <xf numFmtId="0" fontId="10" fillId="15" borderId="6" xfId="0" applyFont="1" applyFill="1" applyBorder="1" applyAlignment="1">
      <alignment horizontal="left" vertical="center"/>
    </xf>
    <xf numFmtId="0" fontId="10" fillId="15" borderId="7" xfId="0" applyFont="1" applyFill="1" applyBorder="1" applyAlignment="1">
      <alignment horizontal="left"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20" borderId="21" xfId="0" applyFont="1" applyFill="1" applyBorder="1" applyAlignment="1">
      <alignment horizontal="center" vertical="center" wrapText="1"/>
    </xf>
    <xf numFmtId="0" fontId="10" fillId="20" borderId="4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left"/>
    </xf>
    <xf numFmtId="0" fontId="15" fillId="9" borderId="1" xfId="0" applyFont="1" applyFill="1" applyBorder="1" applyAlignment="1">
      <alignment horizontal="left"/>
    </xf>
    <xf numFmtId="0" fontId="15" fillId="19" borderId="1" xfId="0" applyFont="1" applyFill="1" applyBorder="1" applyAlignment="1">
      <alignment horizontal="center" vertical="center"/>
    </xf>
    <xf numFmtId="0" fontId="15" fillId="19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9" fontId="14" fillId="0" borderId="1" xfId="0" applyNumberFormat="1" applyFont="1" applyBorder="1" applyAlignment="1">
      <alignment horizontal="left"/>
    </xf>
    <xf numFmtId="0" fontId="15" fillId="2" borderId="1" xfId="0" applyFont="1" applyFill="1" applyBorder="1" applyAlignment="1">
      <alignment vertical="center" wrapText="1"/>
    </xf>
    <xf numFmtId="0" fontId="15" fillId="9" borderId="18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15" fillId="9" borderId="20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14" fillId="12" borderId="1" xfId="0" applyFont="1" applyFill="1" applyBorder="1" applyAlignment="1">
      <alignment horizontal="center" vertical="center"/>
    </xf>
    <xf numFmtId="9" fontId="14" fillId="0" borderId="8" xfId="0" applyNumberFormat="1" applyFont="1" applyBorder="1" applyAlignment="1">
      <alignment horizontal="left"/>
    </xf>
    <xf numFmtId="9" fontId="14" fillId="0" borderId="17" xfId="0" applyNumberFormat="1" applyFont="1" applyBorder="1" applyAlignment="1">
      <alignment horizontal="left"/>
    </xf>
    <xf numFmtId="9" fontId="14" fillId="0" borderId="2" xfId="0" applyNumberFormat="1" applyFont="1" applyBorder="1" applyAlignment="1">
      <alignment horizontal="left"/>
    </xf>
    <xf numFmtId="0" fontId="15" fillId="2" borderId="1" xfId="0" applyFont="1" applyFill="1" applyBorder="1" applyAlignment="1">
      <alignment horizontal="left" vertical="center" wrapText="1"/>
    </xf>
    <xf numFmtId="0" fontId="14" fillId="12" borderId="1" xfId="0" applyFont="1" applyFill="1" applyBorder="1" applyAlignment="1">
      <alignment horizontal="left" wrapText="1"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12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24" fillId="15" borderId="5" xfId="0" applyFont="1" applyFill="1" applyBorder="1" applyAlignment="1">
      <alignment horizontal="left" vertical="center"/>
    </xf>
    <xf numFmtId="0" fontId="24" fillId="15" borderId="6" xfId="0" applyFont="1" applyFill="1" applyBorder="1" applyAlignment="1">
      <alignment horizontal="left" vertical="center"/>
    </xf>
    <xf numFmtId="0" fontId="24" fillId="15" borderId="7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4" fillId="12" borderId="8" xfId="0" applyFont="1" applyFill="1" applyBorder="1" applyAlignment="1">
      <alignment horizontal="left" wrapText="1"/>
    </xf>
    <xf numFmtId="0" fontId="14" fillId="12" borderId="17" xfId="0" applyFont="1" applyFill="1" applyBorder="1" applyAlignment="1">
      <alignment horizontal="left" wrapText="1"/>
    </xf>
    <xf numFmtId="0" fontId="14" fillId="12" borderId="2" xfId="0" applyFont="1" applyFill="1" applyBorder="1" applyAlignment="1">
      <alignment horizontal="left" wrapText="1"/>
    </xf>
    <xf numFmtId="0" fontId="14" fillId="12" borderId="8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11" borderId="26" xfId="0" applyFont="1" applyFill="1" applyBorder="1" applyAlignment="1">
      <alignment horizontal="center" vertical="center" wrapText="1"/>
    </xf>
    <xf numFmtId="0" fontId="10" fillId="11" borderId="29" xfId="0" applyFont="1" applyFill="1" applyBorder="1" applyAlignment="1">
      <alignment horizontal="center" vertical="center" wrapText="1"/>
    </xf>
    <xf numFmtId="0" fontId="10" fillId="11" borderId="3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2" fillId="23" borderId="2" xfId="0" applyFont="1" applyFill="1" applyBorder="1" applyAlignment="1">
      <alignment horizontal="left" vertical="center" wrapText="1"/>
    </xf>
    <xf numFmtId="0" fontId="12" fillId="23" borderId="1" xfId="0" applyFont="1" applyFill="1" applyBorder="1" applyAlignment="1">
      <alignment horizontal="left" vertical="center" wrapText="1"/>
    </xf>
    <xf numFmtId="0" fontId="9" fillId="23" borderId="1" xfId="0" applyFont="1" applyFill="1" applyBorder="1" applyAlignment="1">
      <alignment horizontal="center" vertical="center"/>
    </xf>
    <xf numFmtId="0" fontId="24" fillId="15" borderId="5" xfId="0" applyFont="1" applyFill="1" applyBorder="1" applyAlignment="1">
      <alignment horizontal="left"/>
    </xf>
    <xf numFmtId="0" fontId="24" fillId="15" borderId="6" xfId="0" applyFont="1" applyFill="1" applyBorder="1" applyAlignment="1">
      <alignment horizontal="left"/>
    </xf>
    <xf numFmtId="0" fontId="24" fillId="15" borderId="7" xfId="0" applyFont="1" applyFill="1" applyBorder="1" applyAlignment="1">
      <alignment horizontal="left"/>
    </xf>
    <xf numFmtId="0" fontId="26" fillId="18" borderId="30" xfId="0" applyFont="1" applyFill="1" applyBorder="1" applyAlignment="1">
      <alignment horizontal="left"/>
    </xf>
    <xf numFmtId="0" fontId="26" fillId="18" borderId="31" xfId="0" applyFont="1" applyFill="1" applyBorder="1" applyAlignment="1">
      <alignment horizontal="left"/>
    </xf>
    <xf numFmtId="0" fontId="26" fillId="18" borderId="35" xfId="0" applyFont="1" applyFill="1" applyBorder="1" applyAlignment="1">
      <alignment horizontal="left"/>
    </xf>
    <xf numFmtId="0" fontId="26" fillId="18" borderId="42" xfId="0" applyFont="1" applyFill="1" applyBorder="1" applyAlignment="1">
      <alignment horizontal="center"/>
    </xf>
    <xf numFmtId="0" fontId="26" fillId="18" borderId="32" xfId="0" applyFont="1" applyFill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42" xfId="0" applyFont="1" applyBorder="1" applyAlignment="1">
      <alignment horizontal="left"/>
    </xf>
    <xf numFmtId="2" fontId="26" fillId="13" borderId="35" xfId="0" applyNumberFormat="1" applyFont="1" applyFill="1" applyBorder="1" applyAlignment="1">
      <alignment horizontal="center" vertical="center"/>
    </xf>
    <xf numFmtId="2" fontId="26" fillId="13" borderId="7" xfId="0" applyNumberFormat="1" applyFont="1" applyFill="1" applyBorder="1" applyAlignment="1">
      <alignment horizontal="center" vertical="center"/>
    </xf>
    <xf numFmtId="0" fontId="15" fillId="0" borderId="33" xfId="0" applyFont="1" applyBorder="1" applyAlignment="1">
      <alignment horizontal="left"/>
    </xf>
    <xf numFmtId="0" fontId="15" fillId="0" borderId="36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2" fontId="26" fillId="6" borderId="41" xfId="0" applyNumberFormat="1" applyFont="1" applyFill="1" applyBorder="1" applyAlignment="1">
      <alignment horizontal="center" vertical="center"/>
    </xf>
    <xf numFmtId="2" fontId="26" fillId="6" borderId="34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0" fillId="11" borderId="21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</cellXfs>
  <cellStyles count="1">
    <cellStyle name="Normal" xfId="0" builtinId="0"/>
  </cellStyles>
  <dxfs count="20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rgb="FFFF9F9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rgb="FFFFB7B7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rgb="FFFFB3B3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5" tint="0.59996337778862885"/>
        </patternFill>
      </fill>
    </dxf>
    <dxf>
      <fill>
        <patternFill>
          <bgColor rgb="FFFFAFAF"/>
        </patternFill>
      </fill>
    </dxf>
  </dxfs>
  <tableStyles count="0" defaultTableStyle="TableStyleMedium2" defaultPivotStyle="PivotStyleLight16"/>
  <colors>
    <mruColors>
      <color rgb="FFFFBDBD"/>
      <color rgb="FFFFB3B3"/>
      <color rgb="FFFF9F9F"/>
      <color rgb="FFFFA3A3"/>
      <color rgb="FFFFAFAF"/>
      <color rgb="FFFFB7B7"/>
      <color rgb="FFEAF3FA"/>
      <color rgb="FFFFEBEB"/>
      <color rgb="FFECE0EB"/>
      <color rgb="FFD1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23597-8A08-4840-8961-1FF5012C0180}">
  <dimension ref="A1:G54"/>
  <sheetViews>
    <sheetView tabSelected="1" topLeftCell="A30" zoomScale="66" zoomScaleNormal="70" workbookViewId="0">
      <selection activeCell="A49" sqref="A49"/>
    </sheetView>
  </sheetViews>
  <sheetFormatPr defaultRowHeight="12" x14ac:dyDescent="0.3"/>
  <cols>
    <col min="1" max="1" width="23.6328125" style="15" customWidth="1"/>
    <col min="2" max="2" width="22.6328125" style="15" customWidth="1"/>
    <col min="3" max="3" width="22.81640625" style="15" customWidth="1"/>
    <col min="4" max="6" width="22.6328125" style="18" customWidth="1"/>
    <col min="7" max="7" width="113.6328125" style="15" customWidth="1"/>
    <col min="8" max="16384" width="8.7265625" style="15"/>
  </cols>
  <sheetData>
    <row r="1" spans="1:7" ht="18.5" x14ac:dyDescent="0.45">
      <c r="A1" s="5" t="s">
        <v>247</v>
      </c>
    </row>
    <row r="2" spans="1:7" ht="12.5" thickBot="1" x14ac:dyDescent="0.35"/>
    <row r="3" spans="1:7" ht="52.5" customHeight="1" thickBot="1" x14ac:dyDescent="0.35">
      <c r="A3" s="28" t="s">
        <v>238</v>
      </c>
      <c r="B3" s="249" t="s">
        <v>250</v>
      </c>
      <c r="C3" s="250" t="s">
        <v>278</v>
      </c>
      <c r="D3" s="252" t="s">
        <v>251</v>
      </c>
      <c r="E3" s="251" t="s">
        <v>249</v>
      </c>
      <c r="F3" s="30" t="s">
        <v>253</v>
      </c>
      <c r="G3" s="32" t="s">
        <v>248</v>
      </c>
    </row>
    <row r="4" spans="1:7" ht="12.5" customHeight="1" thickBot="1" x14ac:dyDescent="0.35"/>
    <row r="5" spans="1:7" ht="14" x14ac:dyDescent="0.3">
      <c r="A5" s="20" t="s">
        <v>5</v>
      </c>
      <c r="B5" s="21">
        <f>'Risk Scores'!AA6</f>
        <v>13.999999999999998</v>
      </c>
      <c r="C5" s="21">
        <f>'Availability Scores'!AH6</f>
        <v>42.978723404255319</v>
      </c>
      <c r="D5" s="21">
        <f>'Harm Scores'!AH6</f>
        <v>7.4074074074074066</v>
      </c>
      <c r="E5" s="247" t="s">
        <v>254</v>
      </c>
      <c r="F5" s="254" t="s">
        <v>254</v>
      </c>
      <c r="G5" s="22" t="s">
        <v>252</v>
      </c>
    </row>
    <row r="6" spans="1:7" ht="14" x14ac:dyDescent="0.3">
      <c r="A6" s="20" t="s">
        <v>6</v>
      </c>
      <c r="B6" s="23">
        <f>'Risk Scores'!AA7</f>
        <v>0</v>
      </c>
      <c r="C6" s="23">
        <f>'Availability Scores'!AH7</f>
        <v>38.723404255319153</v>
      </c>
      <c r="D6" s="23">
        <f>'Harm Scores'!AH7</f>
        <v>5.5555555555555554</v>
      </c>
      <c r="E6" s="248" t="s">
        <v>254</v>
      </c>
      <c r="F6" s="253" t="s">
        <v>254</v>
      </c>
      <c r="G6" s="24" t="s">
        <v>252</v>
      </c>
    </row>
    <row r="7" spans="1:7" ht="14" x14ac:dyDescent="0.3">
      <c r="A7" s="20" t="s">
        <v>178</v>
      </c>
      <c r="B7" s="23">
        <f>'Risk Scores'!AA8</f>
        <v>0</v>
      </c>
      <c r="C7" s="23">
        <f>'Availability Scores'!AH8</f>
        <v>22.978723404255323</v>
      </c>
      <c r="D7" s="23">
        <f>'Harm Scores'!AH8</f>
        <v>20.37037037037037</v>
      </c>
      <c r="E7" s="248" t="s">
        <v>254</v>
      </c>
      <c r="F7" s="253" t="s">
        <v>254</v>
      </c>
      <c r="G7" s="24" t="s">
        <v>252</v>
      </c>
    </row>
    <row r="8" spans="1:7" ht="14" x14ac:dyDescent="0.3">
      <c r="A8" s="20" t="s">
        <v>8</v>
      </c>
      <c r="B8" s="23">
        <f>'Risk Scores'!AA9</f>
        <v>0</v>
      </c>
      <c r="C8" s="23">
        <f>'Availability Scores'!AH9</f>
        <v>68.510638297872347</v>
      </c>
      <c r="D8" s="23">
        <f>'Harm Scores'!AH9</f>
        <v>29.629629629629626</v>
      </c>
      <c r="E8" s="248" t="s">
        <v>254</v>
      </c>
      <c r="F8" s="253" t="s">
        <v>254</v>
      </c>
      <c r="G8" s="24" t="s">
        <v>262</v>
      </c>
    </row>
    <row r="9" spans="1:7" ht="14" x14ac:dyDescent="0.3">
      <c r="A9" s="20" t="s">
        <v>9</v>
      </c>
      <c r="B9" s="23">
        <f>'Risk Scores'!AA10</f>
        <v>0</v>
      </c>
      <c r="C9" s="23">
        <f>'Availability Scores'!AH10</f>
        <v>27.23404255319149</v>
      </c>
      <c r="D9" s="23">
        <f>'Harm Scores'!AH10</f>
        <v>3.7037037037037033</v>
      </c>
      <c r="E9" s="248" t="s">
        <v>254</v>
      </c>
      <c r="F9" s="253" t="s">
        <v>254</v>
      </c>
      <c r="G9" s="24" t="s">
        <v>252</v>
      </c>
    </row>
    <row r="10" spans="1:7" ht="14" x14ac:dyDescent="0.3">
      <c r="A10" s="20" t="s">
        <v>10</v>
      </c>
      <c r="B10" s="23">
        <f>'Risk Scores'!AA11</f>
        <v>0</v>
      </c>
      <c r="C10" s="23">
        <f>'Availability Scores'!AH11</f>
        <v>55.744680851063833</v>
      </c>
      <c r="D10" s="23">
        <f>'Harm Scores'!AH11</f>
        <v>41.111111111111107</v>
      </c>
      <c r="E10" s="266" t="s">
        <v>264</v>
      </c>
      <c r="F10" s="253" t="s">
        <v>264</v>
      </c>
      <c r="G10" s="24" t="s">
        <v>279</v>
      </c>
    </row>
    <row r="11" spans="1:7" ht="14" x14ac:dyDescent="0.3">
      <c r="A11" s="20" t="s">
        <v>11</v>
      </c>
      <c r="B11" s="23">
        <f>'Risk Scores'!AA12</f>
        <v>74</v>
      </c>
      <c r="C11" s="23">
        <f>'Availability Scores'!AH12</f>
        <v>41.276595744680847</v>
      </c>
      <c r="D11" s="23">
        <f>'Harm Scores'!AH12</f>
        <v>71.111111111111114</v>
      </c>
      <c r="E11" s="246" t="s">
        <v>256</v>
      </c>
      <c r="F11" s="253" t="s">
        <v>255</v>
      </c>
      <c r="G11" s="24" t="s">
        <v>280</v>
      </c>
    </row>
    <row r="12" spans="1:7" ht="14" x14ac:dyDescent="0.3">
      <c r="A12" s="20" t="s">
        <v>12</v>
      </c>
      <c r="B12" s="23">
        <f>'Risk Scores'!AA13</f>
        <v>0</v>
      </c>
      <c r="C12" s="23">
        <f>'Availability Scores'!AH13</f>
        <v>13.617021276595745</v>
      </c>
      <c r="D12" s="23">
        <f>'Harm Scores'!AH13</f>
        <v>14.222222222222221</v>
      </c>
      <c r="E12" s="248" t="s">
        <v>254</v>
      </c>
      <c r="F12" s="253" t="s">
        <v>254</v>
      </c>
      <c r="G12" s="24" t="s">
        <v>252</v>
      </c>
    </row>
    <row r="13" spans="1:7" ht="14" x14ac:dyDescent="0.3">
      <c r="A13" s="20" t="s">
        <v>13</v>
      </c>
      <c r="B13" s="23">
        <f>'Risk Scores'!AA14</f>
        <v>0</v>
      </c>
      <c r="C13" s="23">
        <f>'Availability Scores'!AH14</f>
        <v>61.702127659574465</v>
      </c>
      <c r="D13" s="23">
        <f>'Harm Scores'!AH14</f>
        <v>20.37037037037037</v>
      </c>
      <c r="E13" s="248" t="s">
        <v>254</v>
      </c>
      <c r="F13" s="253" t="s">
        <v>254</v>
      </c>
      <c r="G13" s="24" t="s">
        <v>281</v>
      </c>
    </row>
    <row r="14" spans="1:7" ht="14" x14ac:dyDescent="0.3">
      <c r="A14" s="20" t="s">
        <v>14</v>
      </c>
      <c r="B14" s="23">
        <f>'Risk Scores'!AA15</f>
        <v>20</v>
      </c>
      <c r="C14" s="23">
        <f>'Availability Scores'!AH15</f>
        <v>5.957446808510638</v>
      </c>
      <c r="D14" s="23">
        <f>'Harm Scores'!AH15</f>
        <v>5.5555555555555554</v>
      </c>
      <c r="E14" s="248" t="s">
        <v>254</v>
      </c>
      <c r="F14" s="253" t="s">
        <v>267</v>
      </c>
      <c r="G14" s="24" t="s">
        <v>252</v>
      </c>
    </row>
    <row r="15" spans="1:7" ht="14" x14ac:dyDescent="0.3">
      <c r="A15" s="20" t="s">
        <v>15</v>
      </c>
      <c r="B15" s="23">
        <f>'Risk Scores'!AA16</f>
        <v>12</v>
      </c>
      <c r="C15" s="23">
        <f>'Availability Scores'!AH16</f>
        <v>14.468085106382977</v>
      </c>
      <c r="D15" s="23">
        <f>'Harm Scores'!AH16</f>
        <v>5.5555555555555554</v>
      </c>
      <c r="E15" s="248" t="s">
        <v>254</v>
      </c>
      <c r="F15" s="253" t="s">
        <v>254</v>
      </c>
      <c r="G15" s="24" t="s">
        <v>252</v>
      </c>
    </row>
    <row r="16" spans="1:7" ht="14" x14ac:dyDescent="0.3">
      <c r="A16" s="20" t="s">
        <v>16</v>
      </c>
      <c r="B16" s="23">
        <f>'Risk Scores'!AA17</f>
        <v>12</v>
      </c>
      <c r="C16" s="23">
        <f>'Availability Scores'!AH17</f>
        <v>44.680851063829785</v>
      </c>
      <c r="D16" s="23">
        <f>'Harm Scores'!AH17</f>
        <v>43.703703703703702</v>
      </c>
      <c r="E16" s="266" t="s">
        <v>264</v>
      </c>
      <c r="F16" s="253" t="s">
        <v>264</v>
      </c>
      <c r="G16" s="24" t="s">
        <v>282</v>
      </c>
    </row>
    <row r="17" spans="1:7" ht="14" x14ac:dyDescent="0.3">
      <c r="A17" s="20" t="s">
        <v>17</v>
      </c>
      <c r="B17" s="23">
        <f>'Risk Scores'!AA18</f>
        <v>78</v>
      </c>
      <c r="C17" s="23">
        <f>'Availability Scores'!AH18</f>
        <v>71.914893617021264</v>
      </c>
      <c r="D17" s="23">
        <f>'Harm Scores'!AH18</f>
        <v>82.222222222222214</v>
      </c>
      <c r="E17" s="25" t="s">
        <v>255</v>
      </c>
      <c r="F17" s="253" t="s">
        <v>255</v>
      </c>
      <c r="G17" s="24" t="s">
        <v>283</v>
      </c>
    </row>
    <row r="18" spans="1:7" ht="14" x14ac:dyDescent="0.3">
      <c r="A18" s="20" t="s">
        <v>18</v>
      </c>
      <c r="B18" s="23">
        <f>'Risk Scores'!AA19</f>
        <v>11.000000000000002</v>
      </c>
      <c r="C18" s="23">
        <f>'Availability Scores'!AH19</f>
        <v>31.063829787234042</v>
      </c>
      <c r="D18" s="23">
        <f>'Harm Scores'!AH19</f>
        <v>40.74074074074074</v>
      </c>
      <c r="E18" s="266" t="s">
        <v>264</v>
      </c>
      <c r="F18" s="253" t="s">
        <v>264</v>
      </c>
      <c r="G18" s="24" t="s">
        <v>284</v>
      </c>
    </row>
    <row r="19" spans="1:7" ht="14" x14ac:dyDescent="0.3">
      <c r="A19" s="20" t="s">
        <v>19</v>
      </c>
      <c r="B19" s="23">
        <f>'Risk Scores'!AA20</f>
        <v>12</v>
      </c>
      <c r="C19" s="23">
        <f>'Availability Scores'!AH20</f>
        <v>26.382978723404253</v>
      </c>
      <c r="D19" s="23">
        <f>'Harm Scores'!AH20</f>
        <v>7.4074074074074066</v>
      </c>
      <c r="E19" s="248" t="s">
        <v>254</v>
      </c>
      <c r="F19" s="253" t="s">
        <v>254</v>
      </c>
      <c r="G19" s="24" t="s">
        <v>285</v>
      </c>
    </row>
    <row r="20" spans="1:7" ht="14" x14ac:dyDescent="0.3">
      <c r="A20" s="20" t="s">
        <v>20</v>
      </c>
      <c r="B20" s="23">
        <f>'Risk Scores'!AA21</f>
        <v>40</v>
      </c>
      <c r="C20" s="23">
        <f>'Availability Scores'!AH21</f>
        <v>44.680851063829785</v>
      </c>
      <c r="D20" s="23">
        <f>'Harm Scores'!AH21</f>
        <v>51.851851851851848</v>
      </c>
      <c r="E20" s="267" t="s">
        <v>264</v>
      </c>
      <c r="F20" s="253" t="s">
        <v>256</v>
      </c>
      <c r="G20" s="24" t="s">
        <v>286</v>
      </c>
    </row>
    <row r="21" spans="1:7" ht="14" x14ac:dyDescent="0.3">
      <c r="A21" s="20" t="s">
        <v>21</v>
      </c>
      <c r="B21" s="23">
        <f>'Risk Scores'!AA22</f>
        <v>0</v>
      </c>
      <c r="C21" s="23">
        <f>'Availability Scores'!AH22</f>
        <v>27.23404255319149</v>
      </c>
      <c r="D21" s="23">
        <f>'Harm Scores'!AH22</f>
        <v>4.9629629629629637</v>
      </c>
      <c r="E21" s="248" t="s">
        <v>254</v>
      </c>
      <c r="F21" s="253" t="s">
        <v>254</v>
      </c>
      <c r="G21" s="24" t="s">
        <v>285</v>
      </c>
    </row>
    <row r="22" spans="1:7" ht="14" x14ac:dyDescent="0.3">
      <c r="A22" s="20" t="s">
        <v>22</v>
      </c>
      <c r="B22" s="23">
        <f>'Risk Scores'!AA23</f>
        <v>11.000000000000002</v>
      </c>
      <c r="C22" s="23">
        <f>'Availability Scores'!AH23</f>
        <v>25.106382978723403</v>
      </c>
      <c r="D22" s="23">
        <f>'Harm Scores'!AH23</f>
        <v>2.4444444444444446</v>
      </c>
      <c r="E22" s="248" t="s">
        <v>254</v>
      </c>
      <c r="F22" s="253" t="s">
        <v>254</v>
      </c>
      <c r="G22" s="24" t="s">
        <v>285</v>
      </c>
    </row>
    <row r="23" spans="1:7" ht="14" x14ac:dyDescent="0.3">
      <c r="A23" s="20" t="s">
        <v>23</v>
      </c>
      <c r="B23" s="23">
        <f>'Risk Scores'!AA24</f>
        <v>24</v>
      </c>
      <c r="C23" s="23">
        <f>'Availability Scores'!AH24</f>
        <v>58.297872340425528</v>
      </c>
      <c r="D23" s="23">
        <f>'Harm Scores'!AH24</f>
        <v>67.925925925925938</v>
      </c>
      <c r="E23" s="246" t="s">
        <v>256</v>
      </c>
      <c r="F23" s="253" t="s">
        <v>256</v>
      </c>
      <c r="G23" s="24" t="s">
        <v>287</v>
      </c>
    </row>
    <row r="24" spans="1:7" ht="14" x14ac:dyDescent="0.3">
      <c r="A24" s="20" t="s">
        <v>24</v>
      </c>
      <c r="B24" s="23">
        <f>'Risk Scores'!AA25</f>
        <v>13.999999999999998</v>
      </c>
      <c r="C24" s="23">
        <f>'Availability Scores'!AH25</f>
        <v>14.893617021276595</v>
      </c>
      <c r="D24" s="23">
        <f>'Harm Scores'!AH25</f>
        <v>27.555555555555557</v>
      </c>
      <c r="E24" s="248" t="s">
        <v>254</v>
      </c>
      <c r="F24" s="253" t="s">
        <v>254</v>
      </c>
      <c r="G24" s="24" t="s">
        <v>288</v>
      </c>
    </row>
    <row r="25" spans="1:7" ht="14" x14ac:dyDescent="0.3">
      <c r="A25" s="20" t="s">
        <v>25</v>
      </c>
      <c r="B25" s="23">
        <f>'Risk Scores'!AA26</f>
        <v>0</v>
      </c>
      <c r="C25" s="23">
        <f>'Availability Scores'!AH26</f>
        <v>22.127659574468087</v>
      </c>
      <c r="D25" s="23">
        <f>'Harm Scores'!AH26</f>
        <v>29.777777777777775</v>
      </c>
      <c r="E25" s="248" t="s">
        <v>254</v>
      </c>
      <c r="F25" s="253" t="s">
        <v>254</v>
      </c>
      <c r="G25" s="24" t="s">
        <v>288</v>
      </c>
    </row>
    <row r="26" spans="1:7" ht="14" x14ac:dyDescent="0.3">
      <c r="A26" s="20" t="s">
        <v>26</v>
      </c>
      <c r="B26" s="23">
        <f>'Risk Scores'!AA27</f>
        <v>12</v>
      </c>
      <c r="C26" s="23">
        <f>'Availability Scores'!AH27</f>
        <v>37.446808510638299</v>
      </c>
      <c r="D26" s="23">
        <f>'Harm Scores'!AH27</f>
        <v>17.25925925925926</v>
      </c>
      <c r="E26" s="248" t="s">
        <v>254</v>
      </c>
      <c r="F26" s="253" t="s">
        <v>254</v>
      </c>
      <c r="G26" s="24" t="s">
        <v>285</v>
      </c>
    </row>
    <row r="27" spans="1:7" ht="14" x14ac:dyDescent="0.3">
      <c r="A27" s="20" t="s">
        <v>27</v>
      </c>
      <c r="B27" s="23">
        <f>'Risk Scores'!AA28</f>
        <v>26</v>
      </c>
      <c r="C27" s="23">
        <f>'Availability Scores'!AH28</f>
        <v>14.468085106382977</v>
      </c>
      <c r="D27" s="23">
        <f>'Harm Scores'!AH28</f>
        <v>20.37037037037037</v>
      </c>
      <c r="E27" s="248" t="s">
        <v>254</v>
      </c>
      <c r="F27" s="253" t="s">
        <v>254</v>
      </c>
      <c r="G27" s="24" t="s">
        <v>252</v>
      </c>
    </row>
    <row r="28" spans="1:7" ht="14" x14ac:dyDescent="0.3">
      <c r="A28" s="20" t="s">
        <v>28</v>
      </c>
      <c r="B28" s="23">
        <f>'Risk Scores'!AA29</f>
        <v>40</v>
      </c>
      <c r="C28" s="23">
        <f>'Availability Scores'!AH29</f>
        <v>22.978723404255323</v>
      </c>
      <c r="D28" s="23">
        <f>'Harm Scores'!AH29</f>
        <v>72.592592592592595</v>
      </c>
      <c r="E28" s="246" t="s">
        <v>256</v>
      </c>
      <c r="F28" s="253" t="s">
        <v>256</v>
      </c>
      <c r="G28" s="24" t="s">
        <v>289</v>
      </c>
    </row>
    <row r="29" spans="1:7" ht="14" x14ac:dyDescent="0.3">
      <c r="A29" s="20" t="s">
        <v>29</v>
      </c>
      <c r="B29" s="23">
        <f>'Risk Scores'!AA30</f>
        <v>0</v>
      </c>
      <c r="C29" s="23">
        <f>'Availability Scores'!AH30</f>
        <v>11.489361702127662</v>
      </c>
      <c r="D29" s="23">
        <f>'Harm Scores'!AH30</f>
        <v>31.481481481481481</v>
      </c>
      <c r="E29" s="248" t="s">
        <v>254</v>
      </c>
      <c r="F29" s="253" t="s">
        <v>254</v>
      </c>
      <c r="G29" s="24" t="s">
        <v>288</v>
      </c>
    </row>
    <row r="30" spans="1:7" ht="14" x14ac:dyDescent="0.3">
      <c r="A30" s="20" t="s">
        <v>30</v>
      </c>
      <c r="B30" s="23">
        <f>'Risk Scores'!AA31</f>
        <v>37</v>
      </c>
      <c r="C30" s="23">
        <f>'Availability Scores'!AH31</f>
        <v>23.829787234042552</v>
      </c>
      <c r="D30" s="23">
        <f>'Harm Scores'!AH31</f>
        <v>36.296296296296298</v>
      </c>
      <c r="E30" s="248" t="s">
        <v>254</v>
      </c>
      <c r="F30" s="253" t="s">
        <v>254</v>
      </c>
      <c r="G30" s="24" t="s">
        <v>288</v>
      </c>
    </row>
    <row r="31" spans="1:7" ht="14" x14ac:dyDescent="0.3">
      <c r="A31" s="20" t="s">
        <v>31</v>
      </c>
      <c r="B31" s="23">
        <f>'Risk Scores'!AA32</f>
        <v>13</v>
      </c>
      <c r="C31" s="23">
        <f>'Availability Scores'!AH32</f>
        <v>37.872340425531917</v>
      </c>
      <c r="D31" s="23">
        <f>'Harm Scores'!AH32</f>
        <v>38.888888888888893</v>
      </c>
      <c r="E31" s="248" t="s">
        <v>254</v>
      </c>
      <c r="F31" s="253" t="s">
        <v>254</v>
      </c>
      <c r="G31" s="24" t="s">
        <v>290</v>
      </c>
    </row>
    <row r="32" spans="1:7" ht="14" x14ac:dyDescent="0.3">
      <c r="A32" s="20" t="s">
        <v>125</v>
      </c>
      <c r="B32" s="23">
        <f>'Risk Scores'!AA33</f>
        <v>0</v>
      </c>
      <c r="C32" s="23">
        <f>'Availability Scores'!AH33</f>
        <v>0</v>
      </c>
      <c r="D32" s="23">
        <f>'Harm Scores'!AH33</f>
        <v>42.592592592592595</v>
      </c>
      <c r="E32" s="248" t="s">
        <v>254</v>
      </c>
      <c r="F32" s="253" t="s">
        <v>264</v>
      </c>
      <c r="G32" s="24" t="s">
        <v>263</v>
      </c>
    </row>
    <row r="33" spans="1:7" ht="14" x14ac:dyDescent="0.3">
      <c r="A33" s="20" t="s">
        <v>32</v>
      </c>
      <c r="B33" s="23">
        <f>'Risk Scores'!AA34</f>
        <v>22.000000000000004</v>
      </c>
      <c r="C33" s="23">
        <f>'Availability Scores'!AH34</f>
        <v>28.085106382978719</v>
      </c>
      <c r="D33" s="23">
        <f>'Harm Scores'!AH34</f>
        <v>27.777777777777779</v>
      </c>
      <c r="E33" s="248" t="s">
        <v>254</v>
      </c>
      <c r="F33" s="253" t="s">
        <v>254</v>
      </c>
      <c r="G33" s="24" t="s">
        <v>290</v>
      </c>
    </row>
    <row r="34" spans="1:7" ht="14" x14ac:dyDescent="0.3">
      <c r="A34" s="20" t="s">
        <v>33</v>
      </c>
      <c r="B34" s="23">
        <f>'Risk Scores'!AA35</f>
        <v>0</v>
      </c>
      <c r="C34" s="23">
        <f>'Availability Scores'!AH35</f>
        <v>24.255319148936174</v>
      </c>
      <c r="D34" s="23">
        <f>'Harm Scores'!AH35</f>
        <v>10.518518518518517</v>
      </c>
      <c r="E34" s="248" t="s">
        <v>254</v>
      </c>
      <c r="F34" s="253" t="s">
        <v>267</v>
      </c>
      <c r="G34" s="24" t="s">
        <v>252</v>
      </c>
    </row>
    <row r="35" spans="1:7" ht="14" x14ac:dyDescent="0.3">
      <c r="A35" s="20" t="s">
        <v>34</v>
      </c>
      <c r="B35" s="23">
        <f>'Risk Scores'!AA36</f>
        <v>0</v>
      </c>
      <c r="C35" s="23">
        <f>'Availability Scores'!AH36</f>
        <v>17.446808510638295</v>
      </c>
      <c r="D35" s="23">
        <f>'Harm Scores'!AH36</f>
        <v>9.8518518518518512</v>
      </c>
      <c r="E35" s="248" t="s">
        <v>254</v>
      </c>
      <c r="F35" s="253" t="s">
        <v>267</v>
      </c>
      <c r="G35" s="24" t="s">
        <v>252</v>
      </c>
    </row>
    <row r="36" spans="1:7" ht="14" x14ac:dyDescent="0.3">
      <c r="A36" s="20" t="s">
        <v>35</v>
      </c>
      <c r="B36" s="23">
        <f>'Risk Scores'!AA37</f>
        <v>0</v>
      </c>
      <c r="C36" s="23">
        <f>'Availability Scores'!AH37</f>
        <v>34.042553191489361</v>
      </c>
      <c r="D36" s="23">
        <f>'Harm Scores'!AH37</f>
        <v>12.962962962962962</v>
      </c>
      <c r="E36" s="248" t="s">
        <v>254</v>
      </c>
      <c r="F36" s="253" t="s">
        <v>254</v>
      </c>
      <c r="G36" s="24" t="s">
        <v>285</v>
      </c>
    </row>
    <row r="37" spans="1:7" ht="14" x14ac:dyDescent="0.3">
      <c r="A37" s="20" t="s">
        <v>36</v>
      </c>
      <c r="B37" s="23">
        <f>'Risk Scores'!AA38</f>
        <v>68</v>
      </c>
      <c r="C37" s="23">
        <f>'Availability Scores'!AH38</f>
        <v>61.702127659574465</v>
      </c>
      <c r="D37" s="23">
        <f>'Harm Scores'!AH38</f>
        <v>81.851851851851848</v>
      </c>
      <c r="E37" s="25" t="s">
        <v>255</v>
      </c>
      <c r="F37" s="253" t="s">
        <v>255</v>
      </c>
      <c r="G37" s="24" t="s">
        <v>291</v>
      </c>
    </row>
    <row r="38" spans="1:7" ht="14" x14ac:dyDescent="0.3">
      <c r="A38" s="20" t="s">
        <v>126</v>
      </c>
      <c r="B38" s="23">
        <f>'Risk Scores'!AA39</f>
        <v>20</v>
      </c>
      <c r="C38" s="23">
        <f>'Availability Scores'!AH39</f>
        <v>0</v>
      </c>
      <c r="D38" s="23">
        <f>'Harm Scores'!AH39</f>
        <v>7.4074074074074066</v>
      </c>
      <c r="E38" s="248" t="s">
        <v>254</v>
      </c>
      <c r="F38" s="253" t="s">
        <v>254</v>
      </c>
      <c r="G38" s="24" t="s">
        <v>263</v>
      </c>
    </row>
    <row r="39" spans="1:7" ht="14" x14ac:dyDescent="0.3">
      <c r="A39" s="20" t="s">
        <v>37</v>
      </c>
      <c r="B39" s="23">
        <f>'Risk Scores'!AA40</f>
        <v>0</v>
      </c>
      <c r="C39" s="23">
        <f>'Availability Scores'!AH40</f>
        <v>33.61702127659575</v>
      </c>
      <c r="D39" s="23">
        <f>'Harm Scores'!AH40</f>
        <v>17.25925925925926</v>
      </c>
      <c r="E39" s="248" t="s">
        <v>254</v>
      </c>
      <c r="F39" s="253" t="s">
        <v>254</v>
      </c>
      <c r="G39" s="24" t="s">
        <v>292</v>
      </c>
    </row>
    <row r="40" spans="1:7" ht="14" x14ac:dyDescent="0.3">
      <c r="A40" s="20" t="s">
        <v>38</v>
      </c>
      <c r="B40" s="23">
        <f>'Risk Scores'!AA41</f>
        <v>12</v>
      </c>
      <c r="C40" s="23">
        <f>'Availability Scores'!AH41</f>
        <v>44.680851063829785</v>
      </c>
      <c r="D40" s="23">
        <f>'Harm Scores'!AH41</f>
        <v>45.185185185185183</v>
      </c>
      <c r="E40" s="265" t="s">
        <v>264</v>
      </c>
      <c r="F40" s="253" t="s">
        <v>264</v>
      </c>
      <c r="G40" s="24" t="s">
        <v>292</v>
      </c>
    </row>
    <row r="41" spans="1:7" ht="14" x14ac:dyDescent="0.3">
      <c r="A41" s="20" t="s">
        <v>39</v>
      </c>
      <c r="B41" s="23">
        <f>'Risk Scores'!AA42</f>
        <v>27</v>
      </c>
      <c r="C41" s="23">
        <f>'Availability Scores'!AH42</f>
        <v>9.3617021276595747</v>
      </c>
      <c r="D41" s="23">
        <f>'Harm Scores'!AH42</f>
        <v>7.4074074074074066</v>
      </c>
      <c r="E41" s="248" t="s">
        <v>254</v>
      </c>
      <c r="F41" s="253" t="s">
        <v>254</v>
      </c>
      <c r="G41" s="24" t="s">
        <v>252</v>
      </c>
    </row>
    <row r="42" spans="1:7" ht="14" x14ac:dyDescent="0.3">
      <c r="A42" s="20" t="s">
        <v>40</v>
      </c>
      <c r="B42" s="23">
        <f>'Risk Scores'!AA43</f>
        <v>20</v>
      </c>
      <c r="C42" s="23">
        <f>'Availability Scores'!AH43</f>
        <v>19.148936170212767</v>
      </c>
      <c r="D42" s="23">
        <f>'Harm Scores'!AH43</f>
        <v>7.4074074074074066</v>
      </c>
      <c r="E42" s="248" t="s">
        <v>254</v>
      </c>
      <c r="F42" s="253" t="s">
        <v>267</v>
      </c>
      <c r="G42" s="24" t="s">
        <v>252</v>
      </c>
    </row>
    <row r="43" spans="1:7" ht="14" x14ac:dyDescent="0.3">
      <c r="A43" s="20" t="s">
        <v>176</v>
      </c>
      <c r="B43" s="23">
        <f>'Risk Scores'!AA44</f>
        <v>2</v>
      </c>
      <c r="C43" s="23">
        <f>'Availability Scores'!AH44</f>
        <v>15.74468085106383</v>
      </c>
      <c r="D43" s="23">
        <f>'Harm Scores'!AH44</f>
        <v>39.481481481481481</v>
      </c>
      <c r="E43" s="248" t="s">
        <v>254</v>
      </c>
      <c r="F43" s="253" t="s">
        <v>264</v>
      </c>
      <c r="G43" s="24" t="s">
        <v>288</v>
      </c>
    </row>
    <row r="44" spans="1:7" ht="14" x14ac:dyDescent="0.3">
      <c r="A44" s="20" t="s">
        <v>42</v>
      </c>
      <c r="B44" s="23">
        <f>'Risk Scores'!AA45</f>
        <v>10</v>
      </c>
      <c r="C44" s="23">
        <f>'Availability Scores'!AH45</f>
        <v>48.510638297872347</v>
      </c>
      <c r="D44" s="23">
        <f>'Harm Scores'!AH45</f>
        <v>34.296296296296298</v>
      </c>
      <c r="E44" s="248" t="s">
        <v>254</v>
      </c>
      <c r="F44" s="253" t="s">
        <v>254</v>
      </c>
      <c r="G44" s="24" t="s">
        <v>293</v>
      </c>
    </row>
    <row r="45" spans="1:7" ht="14" x14ac:dyDescent="0.3">
      <c r="A45" s="20" t="s">
        <v>43</v>
      </c>
      <c r="B45" s="23">
        <f>'Risk Scores'!AA46</f>
        <v>12.000000000000002</v>
      </c>
      <c r="C45" s="23">
        <f>'Availability Scores'!AH46</f>
        <v>44.255319148936174</v>
      </c>
      <c r="D45" s="23">
        <f>'Harm Scores'!AH46</f>
        <v>11.111111111111111</v>
      </c>
      <c r="E45" s="248" t="s">
        <v>254</v>
      </c>
      <c r="F45" s="253" t="s">
        <v>254</v>
      </c>
      <c r="G45" s="24" t="s">
        <v>285</v>
      </c>
    </row>
    <row r="46" spans="1:7" ht="14" x14ac:dyDescent="0.3">
      <c r="A46" s="20" t="s">
        <v>44</v>
      </c>
      <c r="B46" s="23">
        <f>'Risk Scores'!AA47</f>
        <v>0</v>
      </c>
      <c r="C46" s="23">
        <f>'Availability Scores'!AH47</f>
        <v>43.40425531914893</v>
      </c>
      <c r="D46" s="23">
        <f>'Harm Scores'!AH47</f>
        <v>20.37037037037037</v>
      </c>
      <c r="E46" s="248" t="s">
        <v>254</v>
      </c>
      <c r="F46" s="253" t="s">
        <v>254</v>
      </c>
      <c r="G46" s="24" t="s">
        <v>285</v>
      </c>
    </row>
    <row r="47" spans="1:7" ht="14" x14ac:dyDescent="0.3">
      <c r="A47" s="20" t="s">
        <v>45</v>
      </c>
      <c r="B47" s="23">
        <f>'Risk Scores'!AA48</f>
        <v>0</v>
      </c>
      <c r="C47" s="23">
        <f>'Availability Scores'!AH48</f>
        <v>14.468085106382977</v>
      </c>
      <c r="D47" s="23">
        <f>'Harm Scores'!AH48</f>
        <v>37.037037037037038</v>
      </c>
      <c r="E47" s="248" t="s">
        <v>254</v>
      </c>
      <c r="F47" s="253" t="s">
        <v>264</v>
      </c>
      <c r="G47" s="24" t="s">
        <v>288</v>
      </c>
    </row>
    <row r="48" spans="1:7" ht="14" x14ac:dyDescent="0.3">
      <c r="A48" s="20" t="s">
        <v>173</v>
      </c>
      <c r="B48" s="23">
        <f>'Risk Scores'!AA49</f>
        <v>0</v>
      </c>
      <c r="C48" s="23">
        <f>'Availability Scores'!AH49</f>
        <v>0</v>
      </c>
      <c r="D48" s="23">
        <f>'Harm Scores'!AH49</f>
        <v>33.333333333333329</v>
      </c>
      <c r="E48" s="248" t="s">
        <v>254</v>
      </c>
      <c r="F48" s="253" t="s">
        <v>254</v>
      </c>
      <c r="G48" s="24" t="s">
        <v>263</v>
      </c>
    </row>
    <row r="49" spans="1:7" ht="14" x14ac:dyDescent="0.3">
      <c r="A49" s="20" t="s">
        <v>46</v>
      </c>
      <c r="B49" s="23">
        <f>'Risk Scores'!AA50</f>
        <v>15</v>
      </c>
      <c r="C49" s="23">
        <f>'Availability Scores'!AH50</f>
        <v>40.851063829787229</v>
      </c>
      <c r="D49" s="23">
        <f>'Harm Scores'!AH50</f>
        <v>29.259259259259263</v>
      </c>
      <c r="E49" s="248" t="s">
        <v>254</v>
      </c>
      <c r="F49" s="253" t="s">
        <v>254</v>
      </c>
      <c r="G49" s="24" t="s">
        <v>294</v>
      </c>
    </row>
    <row r="50" spans="1:7" ht="14" x14ac:dyDescent="0.3">
      <c r="A50" s="20" t="s">
        <v>47</v>
      </c>
      <c r="B50" s="23">
        <f>'Risk Scores'!AA51</f>
        <v>0</v>
      </c>
      <c r="C50" s="23">
        <f>'Availability Scores'!AH51</f>
        <v>42.978723404255319</v>
      </c>
      <c r="D50" s="23">
        <f>'Harm Scores'!AH51</f>
        <v>31.629629629629623</v>
      </c>
      <c r="E50" s="248" t="s">
        <v>254</v>
      </c>
      <c r="F50" s="253" t="s">
        <v>254</v>
      </c>
      <c r="G50" s="24" t="s">
        <v>294</v>
      </c>
    </row>
    <row r="51" spans="1:7" ht="14.5" thickBot="1" x14ac:dyDescent="0.35">
      <c r="A51" s="20" t="s">
        <v>48</v>
      </c>
      <c r="B51" s="26">
        <f>'Risk Scores'!AA52</f>
        <v>0</v>
      </c>
      <c r="C51" s="26">
        <f>'Availability Scores'!AH52</f>
        <v>14.893617021276595</v>
      </c>
      <c r="D51" s="26">
        <f>'Harm Scores'!AH52</f>
        <v>35.185185185185183</v>
      </c>
      <c r="E51" s="264" t="s">
        <v>254</v>
      </c>
      <c r="F51" s="253" t="s">
        <v>254</v>
      </c>
      <c r="G51" s="27" t="s">
        <v>288</v>
      </c>
    </row>
    <row r="53" spans="1:7" ht="14.5" x14ac:dyDescent="0.35">
      <c r="A53" s="2" t="s">
        <v>319</v>
      </c>
    </row>
    <row r="54" spans="1:7" ht="14.5" x14ac:dyDescent="0.35">
      <c r="A54" s="2" t="s">
        <v>320</v>
      </c>
    </row>
  </sheetData>
  <conditionalFormatting sqref="B5:D51">
    <cfRule type="cellIs" dxfId="19" priority="1" operator="between">
      <formula>75</formula>
      <formula>100</formula>
    </cfRule>
    <cfRule type="cellIs" dxfId="18" priority="2" operator="between">
      <formula>56</formula>
      <formula>74.99</formula>
    </cfRule>
    <cfRule type="cellIs" dxfId="17" priority="3" operator="between">
      <formula>45</formula>
      <formula>55.99</formula>
    </cfRule>
    <cfRule type="cellIs" dxfId="16" priority="4" operator="between">
      <formula>25.01</formula>
      <formula>44.99</formula>
    </cfRule>
    <cfRule type="cellIs" dxfId="15" priority="5" operator="between">
      <formula>0</formula>
      <formula>25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06C44-7F0B-4E89-969D-374693FFB224}">
  <sheetPr>
    <tabColor rgb="FFFFEBEB"/>
  </sheetPr>
  <dimension ref="A1:T65"/>
  <sheetViews>
    <sheetView zoomScale="80" zoomScaleNormal="80" workbookViewId="0">
      <selection activeCell="P7" sqref="P7:T7"/>
    </sheetView>
  </sheetViews>
  <sheetFormatPr defaultRowHeight="14.5" x14ac:dyDescent="0.35"/>
  <cols>
    <col min="3" max="3" width="12.6328125" customWidth="1"/>
    <col min="7" max="7" width="1.81640625" customWidth="1"/>
    <col min="13" max="13" width="8.81640625" customWidth="1"/>
    <col min="14" max="14" width="1.81640625" customWidth="1"/>
    <col min="19" max="19" width="8.7265625" customWidth="1"/>
    <col min="20" max="20" width="8.81640625" customWidth="1"/>
  </cols>
  <sheetData>
    <row r="1" spans="1:20" ht="18.5" thickBot="1" x14ac:dyDescent="0.4">
      <c r="A1" s="344" t="s">
        <v>190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6"/>
    </row>
    <row r="2" spans="1:20" ht="19" thickBot="1" x14ac:dyDescent="0.5">
      <c r="A2" s="5"/>
    </row>
    <row r="3" spans="1:20" ht="15" thickBot="1" x14ac:dyDescent="0.4">
      <c r="A3" s="347" t="s">
        <v>162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9"/>
    </row>
    <row r="4" spans="1:20" ht="15" thickBot="1" x14ac:dyDescent="0.4"/>
    <row r="5" spans="1:20" ht="15" thickBot="1" x14ac:dyDescent="0.4">
      <c r="A5" s="291" t="s">
        <v>191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3"/>
    </row>
    <row r="7" spans="1:20" ht="39.5" customHeight="1" x14ac:dyDescent="0.35">
      <c r="A7" s="303" t="s">
        <v>60</v>
      </c>
      <c r="B7" s="290" t="s">
        <v>192</v>
      </c>
      <c r="C7" s="278"/>
      <c r="D7" s="278"/>
      <c r="E7" s="278"/>
      <c r="F7" s="278"/>
      <c r="G7" s="43"/>
      <c r="H7" s="277" t="s">
        <v>71</v>
      </c>
      <c r="I7" s="290" t="s">
        <v>265</v>
      </c>
      <c r="J7" s="278"/>
      <c r="K7" s="278"/>
      <c r="L7" s="278"/>
      <c r="M7" s="278"/>
      <c r="N7" s="43"/>
      <c r="O7" s="277" t="s">
        <v>73</v>
      </c>
      <c r="P7" s="278" t="s">
        <v>321</v>
      </c>
      <c r="Q7" s="278"/>
      <c r="R7" s="278"/>
      <c r="S7" s="278"/>
      <c r="T7" s="278"/>
    </row>
    <row r="8" spans="1:20" x14ac:dyDescent="0.35">
      <c r="A8" s="304"/>
      <c r="B8" s="214" t="s">
        <v>174</v>
      </c>
      <c r="C8" s="284" t="s">
        <v>67</v>
      </c>
      <c r="D8" s="285"/>
      <c r="E8" s="285"/>
      <c r="F8" s="286"/>
      <c r="G8" s="43"/>
      <c r="H8" s="277"/>
      <c r="I8" s="214" t="s">
        <v>174</v>
      </c>
      <c r="J8" s="279" t="s">
        <v>67</v>
      </c>
      <c r="K8" s="279"/>
      <c r="L8" s="279"/>
      <c r="M8" s="279"/>
      <c r="N8" s="43"/>
      <c r="O8" s="277"/>
      <c r="P8" s="44" t="s">
        <v>174</v>
      </c>
      <c r="Q8" s="279" t="s">
        <v>67</v>
      </c>
      <c r="R8" s="279"/>
      <c r="S8" s="279"/>
      <c r="T8" s="279"/>
    </row>
    <row r="9" spans="1:20" x14ac:dyDescent="0.35">
      <c r="A9" s="305"/>
      <c r="B9" s="215" t="s">
        <v>175</v>
      </c>
      <c r="C9" s="279" t="s">
        <v>83</v>
      </c>
      <c r="D9" s="279"/>
      <c r="E9" s="279"/>
      <c r="F9" s="279"/>
      <c r="G9" s="43"/>
      <c r="H9" s="277"/>
      <c r="I9" s="214" t="s">
        <v>175</v>
      </c>
      <c r="J9" s="279" t="s">
        <v>83</v>
      </c>
      <c r="K9" s="279"/>
      <c r="L9" s="279"/>
      <c r="M9" s="279"/>
      <c r="N9" s="43"/>
      <c r="O9" s="277"/>
      <c r="P9" s="216" t="s">
        <v>175</v>
      </c>
      <c r="Q9" s="279" t="s">
        <v>83</v>
      </c>
      <c r="R9" s="279"/>
      <c r="S9" s="279"/>
      <c r="T9" s="279"/>
    </row>
    <row r="10" spans="1:20" ht="28" customHeight="1" x14ac:dyDescent="0.35">
      <c r="A10" s="277" t="s">
        <v>59</v>
      </c>
      <c r="B10" s="306" t="s">
        <v>198</v>
      </c>
      <c r="C10" s="306"/>
      <c r="D10" s="306"/>
      <c r="E10" s="306"/>
      <c r="F10" s="306"/>
      <c r="G10" s="43"/>
      <c r="H10" s="277" t="s">
        <v>59</v>
      </c>
      <c r="I10" s="289" t="s">
        <v>194</v>
      </c>
      <c r="J10" s="289"/>
      <c r="K10" s="289"/>
      <c r="L10" s="289"/>
      <c r="M10" s="290"/>
      <c r="N10" s="43"/>
      <c r="O10" s="217"/>
      <c r="P10" s="110"/>
      <c r="Q10" s="343"/>
      <c r="R10" s="343"/>
      <c r="S10" s="343"/>
      <c r="T10" s="343"/>
    </row>
    <row r="11" spans="1:20" x14ac:dyDescent="0.35">
      <c r="A11" s="277"/>
      <c r="B11" s="218" t="s">
        <v>193</v>
      </c>
      <c r="C11" s="268" t="s">
        <v>67</v>
      </c>
      <c r="D11" s="268"/>
      <c r="E11" s="268"/>
      <c r="F11" s="268"/>
      <c r="G11" s="43"/>
      <c r="H11" s="277"/>
      <c r="I11" s="220">
        <v>0</v>
      </c>
      <c r="J11" s="268" t="s">
        <v>67</v>
      </c>
      <c r="K11" s="268"/>
      <c r="L11" s="268"/>
      <c r="M11" s="268"/>
      <c r="N11" s="43"/>
      <c r="O11" s="217"/>
      <c r="P11" s="110"/>
      <c r="Q11" s="343"/>
      <c r="R11" s="343"/>
      <c r="S11" s="343"/>
      <c r="T11" s="343"/>
    </row>
    <row r="12" spans="1:20" x14ac:dyDescent="0.35">
      <c r="A12" s="277"/>
      <c r="B12" s="218">
        <v>0.1</v>
      </c>
      <c r="C12" s="268" t="s">
        <v>99</v>
      </c>
      <c r="D12" s="268"/>
      <c r="E12" s="268"/>
      <c r="F12" s="268"/>
      <c r="G12" s="43"/>
      <c r="H12" s="277"/>
      <c r="I12" s="220">
        <v>1</v>
      </c>
      <c r="J12" s="268" t="s">
        <v>99</v>
      </c>
      <c r="K12" s="268"/>
      <c r="L12" s="268"/>
      <c r="M12" s="268"/>
      <c r="N12" s="43"/>
      <c r="O12" s="217"/>
      <c r="P12" s="110"/>
      <c r="Q12" s="343"/>
      <c r="R12" s="343"/>
      <c r="S12" s="343"/>
      <c r="T12" s="343"/>
    </row>
    <row r="13" spans="1:20" x14ac:dyDescent="0.35">
      <c r="A13" s="277"/>
      <c r="B13" s="218">
        <v>0.2</v>
      </c>
      <c r="C13" s="268" t="s">
        <v>97</v>
      </c>
      <c r="D13" s="268"/>
      <c r="E13" s="268"/>
      <c r="F13" s="268"/>
      <c r="G13" s="43"/>
      <c r="H13" s="277"/>
      <c r="I13" s="220">
        <v>2</v>
      </c>
      <c r="J13" s="268" t="s">
        <v>97</v>
      </c>
      <c r="K13" s="268"/>
      <c r="L13" s="268"/>
      <c r="M13" s="268"/>
      <c r="N13" s="43"/>
      <c r="O13" s="217"/>
      <c r="P13" s="110"/>
      <c r="Q13" s="343"/>
      <c r="R13" s="343"/>
      <c r="S13" s="343"/>
      <c r="T13" s="343"/>
    </row>
    <row r="14" spans="1:20" x14ac:dyDescent="0.35">
      <c r="A14" s="277"/>
      <c r="B14" s="218">
        <v>0.3</v>
      </c>
      <c r="C14" s="268" t="s">
        <v>95</v>
      </c>
      <c r="D14" s="268"/>
      <c r="E14" s="268"/>
      <c r="F14" s="268"/>
      <c r="G14" s="43"/>
      <c r="H14" s="277"/>
      <c r="I14" s="220">
        <v>3</v>
      </c>
      <c r="J14" s="268" t="s">
        <v>95</v>
      </c>
      <c r="K14" s="268"/>
      <c r="L14" s="268"/>
      <c r="M14" s="268"/>
      <c r="N14" s="43"/>
      <c r="O14" s="217"/>
      <c r="P14" s="110"/>
      <c r="Q14" s="343"/>
      <c r="R14" s="343"/>
      <c r="S14" s="343"/>
      <c r="T14" s="343"/>
    </row>
    <row r="15" spans="1:20" x14ac:dyDescent="0.35">
      <c r="A15" s="277"/>
      <c r="B15" s="218">
        <v>0.4</v>
      </c>
      <c r="C15" s="280" t="s">
        <v>94</v>
      </c>
      <c r="D15" s="281"/>
      <c r="E15" s="281"/>
      <c r="F15" s="282"/>
      <c r="G15" s="43"/>
      <c r="H15" s="277"/>
      <c r="I15" s="219">
        <v>4</v>
      </c>
      <c r="J15" s="268" t="s">
        <v>94</v>
      </c>
      <c r="K15" s="268"/>
      <c r="L15" s="268"/>
      <c r="M15" s="268"/>
      <c r="N15" s="43"/>
      <c r="O15" s="221"/>
      <c r="P15" s="110"/>
      <c r="Q15" s="110"/>
      <c r="R15" s="110"/>
      <c r="S15" s="110"/>
      <c r="T15" s="110"/>
    </row>
    <row r="16" spans="1:20" x14ac:dyDescent="0.35">
      <c r="A16" s="277"/>
      <c r="B16" s="218">
        <v>0.5</v>
      </c>
      <c r="C16" s="280" t="s">
        <v>66</v>
      </c>
      <c r="D16" s="281"/>
      <c r="E16" s="281"/>
      <c r="F16" s="282"/>
      <c r="G16" s="43"/>
      <c r="H16" s="277"/>
      <c r="I16" s="219">
        <v>5</v>
      </c>
      <c r="J16" s="268" t="s">
        <v>66</v>
      </c>
      <c r="K16" s="268"/>
      <c r="L16" s="268"/>
      <c r="M16" s="268"/>
      <c r="N16" s="43"/>
      <c r="O16" s="221"/>
      <c r="P16" s="110"/>
      <c r="Q16" s="110"/>
      <c r="R16" s="110"/>
      <c r="S16" s="110"/>
      <c r="T16" s="110"/>
    </row>
    <row r="17" spans="1:20" x14ac:dyDescent="0.35">
      <c r="A17" s="277"/>
      <c r="B17" s="218">
        <v>0.6</v>
      </c>
      <c r="C17" s="280" t="s">
        <v>93</v>
      </c>
      <c r="D17" s="281"/>
      <c r="E17" s="281"/>
      <c r="F17" s="282"/>
      <c r="G17" s="43"/>
      <c r="H17" s="277"/>
      <c r="I17" s="219">
        <v>6</v>
      </c>
      <c r="J17" s="268" t="s">
        <v>93</v>
      </c>
      <c r="K17" s="268"/>
      <c r="L17" s="268"/>
      <c r="M17" s="268"/>
      <c r="N17" s="43"/>
      <c r="O17" s="221"/>
      <c r="P17" s="110"/>
      <c r="Q17" s="110"/>
      <c r="R17" s="110"/>
      <c r="S17" s="110"/>
      <c r="T17" s="110"/>
    </row>
    <row r="18" spans="1:20" x14ac:dyDescent="0.35">
      <c r="A18" s="277"/>
      <c r="B18" s="218">
        <v>0.7</v>
      </c>
      <c r="C18" s="280" t="s">
        <v>92</v>
      </c>
      <c r="D18" s="281"/>
      <c r="E18" s="281"/>
      <c r="F18" s="282"/>
      <c r="G18" s="43"/>
      <c r="H18" s="277"/>
      <c r="I18" s="219">
        <v>7</v>
      </c>
      <c r="J18" s="268" t="s">
        <v>92</v>
      </c>
      <c r="K18" s="268"/>
      <c r="L18" s="268"/>
      <c r="M18" s="268"/>
      <c r="N18" s="43"/>
      <c r="O18" s="221"/>
      <c r="P18" s="110"/>
      <c r="Q18" s="110"/>
      <c r="R18" s="110"/>
      <c r="S18" s="110"/>
      <c r="T18" s="110"/>
    </row>
    <row r="19" spans="1:20" x14ac:dyDescent="0.35">
      <c r="A19" s="277"/>
      <c r="B19" s="218">
        <v>0.8</v>
      </c>
      <c r="C19" s="280" t="s">
        <v>91</v>
      </c>
      <c r="D19" s="281"/>
      <c r="E19" s="281"/>
      <c r="F19" s="282"/>
      <c r="G19" s="43"/>
      <c r="H19" s="277"/>
      <c r="I19" s="219">
        <v>8</v>
      </c>
      <c r="J19" s="268" t="s">
        <v>91</v>
      </c>
      <c r="K19" s="268"/>
      <c r="L19" s="268"/>
      <c r="M19" s="268"/>
      <c r="N19" s="43"/>
      <c r="O19" s="221"/>
      <c r="P19" s="110"/>
      <c r="Q19" s="110"/>
      <c r="R19" s="110"/>
      <c r="S19" s="110"/>
      <c r="T19" s="110"/>
    </row>
    <row r="20" spans="1:20" x14ac:dyDescent="0.35">
      <c r="A20" s="277"/>
      <c r="B20" s="218">
        <v>0.9</v>
      </c>
      <c r="C20" s="280" t="s">
        <v>90</v>
      </c>
      <c r="D20" s="281"/>
      <c r="E20" s="281"/>
      <c r="F20" s="282"/>
      <c r="G20" s="43"/>
      <c r="H20" s="277"/>
      <c r="I20" s="219">
        <v>9</v>
      </c>
      <c r="J20" s="268" t="s">
        <v>90</v>
      </c>
      <c r="K20" s="268"/>
      <c r="L20" s="268"/>
      <c r="M20" s="268"/>
      <c r="N20" s="43"/>
      <c r="O20" s="221"/>
      <c r="P20" s="110"/>
      <c r="Q20" s="110"/>
      <c r="R20" s="110"/>
      <c r="S20" s="110"/>
      <c r="T20" s="110"/>
    </row>
    <row r="21" spans="1:20" x14ac:dyDescent="0.35">
      <c r="A21" s="277"/>
      <c r="B21" s="218">
        <v>1</v>
      </c>
      <c r="C21" s="280" t="s">
        <v>83</v>
      </c>
      <c r="D21" s="281"/>
      <c r="E21" s="281"/>
      <c r="F21" s="282"/>
      <c r="G21" s="43"/>
      <c r="H21" s="277"/>
      <c r="I21" s="219">
        <v>10</v>
      </c>
      <c r="J21" s="268" t="s">
        <v>83</v>
      </c>
      <c r="K21" s="268"/>
      <c r="L21" s="268"/>
      <c r="M21" s="268"/>
      <c r="N21" s="43"/>
      <c r="O21" s="221"/>
      <c r="P21" s="110"/>
      <c r="Q21" s="110"/>
      <c r="R21" s="110"/>
      <c r="S21" s="110"/>
      <c r="T21" s="110"/>
    </row>
    <row r="22" spans="1:20" x14ac:dyDescent="0.3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x14ac:dyDescent="0.35">
      <c r="A23" s="269" t="s">
        <v>77</v>
      </c>
      <c r="B23" s="269"/>
      <c r="C23" s="269"/>
      <c r="D23" s="269"/>
      <c r="E23" s="269"/>
      <c r="F23" s="222">
        <v>0</v>
      </c>
      <c r="G23" s="43"/>
      <c r="H23" s="269" t="s">
        <v>77</v>
      </c>
      <c r="I23" s="269"/>
      <c r="J23" s="269"/>
      <c r="K23" s="269"/>
      <c r="L23" s="269"/>
      <c r="M23" s="222">
        <v>0</v>
      </c>
      <c r="N23" s="43"/>
      <c r="O23" s="269" t="s">
        <v>77</v>
      </c>
      <c r="P23" s="269"/>
      <c r="Q23" s="269"/>
      <c r="R23" s="269"/>
      <c r="S23" s="269"/>
      <c r="T23" s="222">
        <v>0</v>
      </c>
    </row>
    <row r="24" spans="1:20" x14ac:dyDescent="0.35">
      <c r="A24" s="269" t="s">
        <v>89</v>
      </c>
      <c r="B24" s="269"/>
      <c r="C24" s="269"/>
      <c r="D24" s="269"/>
      <c r="E24" s="269"/>
      <c r="F24" s="223">
        <v>2</v>
      </c>
      <c r="G24" s="43"/>
      <c r="H24" s="269" t="s">
        <v>89</v>
      </c>
      <c r="I24" s="269"/>
      <c r="J24" s="269"/>
      <c r="K24" s="269"/>
      <c r="L24" s="269"/>
      <c r="M24" s="223">
        <v>2</v>
      </c>
      <c r="N24" s="43"/>
      <c r="O24" s="269" t="s">
        <v>89</v>
      </c>
      <c r="P24" s="269"/>
      <c r="Q24" s="269"/>
      <c r="R24" s="269"/>
      <c r="S24" s="269"/>
      <c r="T24" s="223">
        <v>1</v>
      </c>
    </row>
    <row r="25" spans="1:20" ht="15" thickBot="1" x14ac:dyDescent="0.4"/>
    <row r="26" spans="1:20" ht="15" thickBot="1" x14ac:dyDescent="0.4">
      <c r="A26" s="291" t="s">
        <v>195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3"/>
    </row>
    <row r="28" spans="1:20" ht="57.5" customHeight="1" x14ac:dyDescent="0.35">
      <c r="A28" s="274" t="s">
        <v>80</v>
      </c>
      <c r="B28" s="294" t="s">
        <v>196</v>
      </c>
      <c r="C28" s="294"/>
      <c r="D28" s="294"/>
      <c r="E28" s="294"/>
      <c r="F28" s="294"/>
      <c r="G28" s="43"/>
      <c r="H28" s="274" t="s">
        <v>84</v>
      </c>
      <c r="I28" s="290" t="s">
        <v>265</v>
      </c>
      <c r="J28" s="278"/>
      <c r="K28" s="278"/>
      <c r="L28" s="278"/>
      <c r="M28" s="278"/>
      <c r="N28" s="43"/>
      <c r="O28" s="277" t="s">
        <v>73</v>
      </c>
      <c r="P28" s="278" t="s">
        <v>321</v>
      </c>
      <c r="Q28" s="278"/>
      <c r="R28" s="278"/>
      <c r="S28" s="278"/>
      <c r="T28" s="278"/>
    </row>
    <row r="29" spans="1:20" x14ac:dyDescent="0.35">
      <c r="A29" s="275"/>
      <c r="B29" s="44" t="s">
        <v>174</v>
      </c>
      <c r="C29" s="284" t="s">
        <v>67</v>
      </c>
      <c r="D29" s="285"/>
      <c r="E29" s="285"/>
      <c r="F29" s="286"/>
      <c r="G29" s="43"/>
      <c r="H29" s="275"/>
      <c r="I29" s="44" t="s">
        <v>174</v>
      </c>
      <c r="J29" s="284" t="s">
        <v>67</v>
      </c>
      <c r="K29" s="285"/>
      <c r="L29" s="285"/>
      <c r="M29" s="286"/>
      <c r="N29" s="43"/>
      <c r="O29" s="277"/>
      <c r="P29" s="44" t="s">
        <v>174</v>
      </c>
      <c r="Q29" s="279" t="s">
        <v>67</v>
      </c>
      <c r="R29" s="279"/>
      <c r="S29" s="279"/>
      <c r="T29" s="279"/>
    </row>
    <row r="30" spans="1:20" x14ac:dyDescent="0.35">
      <c r="A30" s="276"/>
      <c r="B30" s="44" t="s">
        <v>175</v>
      </c>
      <c r="C30" s="284" t="s">
        <v>83</v>
      </c>
      <c r="D30" s="285"/>
      <c r="E30" s="285"/>
      <c r="F30" s="286"/>
      <c r="G30" s="43"/>
      <c r="H30" s="276"/>
      <c r="I30" s="225" t="s">
        <v>175</v>
      </c>
      <c r="J30" s="295" t="s">
        <v>83</v>
      </c>
      <c r="K30" s="296"/>
      <c r="L30" s="296"/>
      <c r="M30" s="297"/>
      <c r="N30" s="43"/>
      <c r="O30" s="277"/>
      <c r="P30" s="216" t="s">
        <v>175</v>
      </c>
      <c r="Q30" s="279" t="s">
        <v>83</v>
      </c>
      <c r="R30" s="279"/>
      <c r="S30" s="279"/>
      <c r="T30" s="279"/>
    </row>
    <row r="31" spans="1:20" ht="29" customHeight="1" x14ac:dyDescent="0.35">
      <c r="A31" s="274" t="s">
        <v>59</v>
      </c>
      <c r="B31" s="287" t="s">
        <v>197</v>
      </c>
      <c r="C31" s="287"/>
      <c r="D31" s="287"/>
      <c r="E31" s="287"/>
      <c r="F31" s="288"/>
      <c r="G31" s="43"/>
      <c r="H31" s="273" t="s">
        <v>59</v>
      </c>
      <c r="I31" s="283" t="s">
        <v>199</v>
      </c>
      <c r="J31" s="283"/>
      <c r="K31" s="283"/>
      <c r="L31" s="283"/>
      <c r="M31" s="283"/>
      <c r="N31" s="43"/>
      <c r="O31" s="43"/>
      <c r="P31" s="43"/>
      <c r="Q31" s="43"/>
      <c r="R31" s="43"/>
      <c r="S31" s="43"/>
      <c r="T31" s="43"/>
    </row>
    <row r="32" spans="1:20" x14ac:dyDescent="0.35">
      <c r="A32" s="275"/>
      <c r="B32" s="218" t="s">
        <v>193</v>
      </c>
      <c r="C32" s="268" t="s">
        <v>67</v>
      </c>
      <c r="D32" s="268"/>
      <c r="E32" s="268"/>
      <c r="F32" s="268"/>
      <c r="G32" s="43"/>
      <c r="H32" s="273"/>
      <c r="I32" s="220">
        <v>0</v>
      </c>
      <c r="J32" s="268" t="s">
        <v>67</v>
      </c>
      <c r="K32" s="268"/>
      <c r="L32" s="268"/>
      <c r="M32" s="268"/>
      <c r="N32" s="43"/>
      <c r="O32" s="43"/>
      <c r="P32" s="43"/>
      <c r="Q32" s="43"/>
      <c r="R32" s="43"/>
      <c r="S32" s="43"/>
      <c r="T32" s="43"/>
    </row>
    <row r="33" spans="1:20" x14ac:dyDescent="0.35">
      <c r="A33" s="275"/>
      <c r="B33" s="218">
        <v>0.1</v>
      </c>
      <c r="C33" s="268" t="s">
        <v>99</v>
      </c>
      <c r="D33" s="268"/>
      <c r="E33" s="268"/>
      <c r="F33" s="268"/>
      <c r="G33" s="43"/>
      <c r="H33" s="273"/>
      <c r="I33" s="220">
        <v>1</v>
      </c>
      <c r="J33" s="268" t="s">
        <v>99</v>
      </c>
      <c r="K33" s="268"/>
      <c r="L33" s="268"/>
      <c r="M33" s="268"/>
      <c r="N33" s="43"/>
      <c r="O33" s="43"/>
      <c r="P33" s="43"/>
      <c r="Q33" s="43"/>
      <c r="R33" s="43"/>
      <c r="S33" s="43"/>
      <c r="T33" s="43"/>
    </row>
    <row r="34" spans="1:20" x14ac:dyDescent="0.35">
      <c r="A34" s="275"/>
      <c r="B34" s="218">
        <v>0.2</v>
      </c>
      <c r="C34" s="268" t="s">
        <v>97</v>
      </c>
      <c r="D34" s="268"/>
      <c r="E34" s="268"/>
      <c r="F34" s="268"/>
      <c r="G34" s="43"/>
      <c r="H34" s="273"/>
      <c r="I34" s="220">
        <v>2</v>
      </c>
      <c r="J34" s="268" t="s">
        <v>97</v>
      </c>
      <c r="K34" s="268"/>
      <c r="L34" s="268"/>
      <c r="M34" s="268"/>
      <c r="N34" s="43"/>
      <c r="O34" s="43"/>
      <c r="P34" s="43"/>
      <c r="Q34" s="43"/>
      <c r="R34" s="43"/>
      <c r="S34" s="43"/>
      <c r="T34" s="43"/>
    </row>
    <row r="35" spans="1:20" x14ac:dyDescent="0.35">
      <c r="A35" s="275"/>
      <c r="B35" s="218">
        <v>0.3</v>
      </c>
      <c r="C35" s="268" t="s">
        <v>95</v>
      </c>
      <c r="D35" s="268"/>
      <c r="E35" s="268"/>
      <c r="F35" s="268"/>
      <c r="G35" s="43"/>
      <c r="H35" s="273"/>
      <c r="I35" s="220">
        <v>3</v>
      </c>
      <c r="J35" s="268" t="s">
        <v>95</v>
      </c>
      <c r="K35" s="268"/>
      <c r="L35" s="268"/>
      <c r="M35" s="268"/>
      <c r="N35" s="43"/>
      <c r="O35" s="43"/>
      <c r="P35" s="43"/>
      <c r="Q35" s="43"/>
      <c r="R35" s="43"/>
      <c r="S35" s="43"/>
      <c r="T35" s="43"/>
    </row>
    <row r="36" spans="1:20" x14ac:dyDescent="0.35">
      <c r="A36" s="275"/>
      <c r="B36" s="218">
        <v>0.4</v>
      </c>
      <c r="C36" s="280" t="s">
        <v>94</v>
      </c>
      <c r="D36" s="281"/>
      <c r="E36" s="281"/>
      <c r="F36" s="282"/>
      <c r="G36" s="43"/>
      <c r="H36" s="273"/>
      <c r="I36" s="219">
        <v>4</v>
      </c>
      <c r="J36" s="268" t="s">
        <v>94</v>
      </c>
      <c r="K36" s="268"/>
      <c r="L36" s="268"/>
      <c r="M36" s="268"/>
      <c r="N36" s="43"/>
      <c r="O36" s="43"/>
      <c r="P36" s="43"/>
      <c r="Q36" s="43"/>
      <c r="R36" s="43"/>
      <c r="S36" s="43"/>
      <c r="T36" s="43"/>
    </row>
    <row r="37" spans="1:20" x14ac:dyDescent="0.35">
      <c r="A37" s="275"/>
      <c r="B37" s="218">
        <v>0.5</v>
      </c>
      <c r="C37" s="280" t="s">
        <v>66</v>
      </c>
      <c r="D37" s="281"/>
      <c r="E37" s="281"/>
      <c r="F37" s="282"/>
      <c r="G37" s="43"/>
      <c r="H37" s="273"/>
      <c r="I37" s="219">
        <v>5</v>
      </c>
      <c r="J37" s="268" t="s">
        <v>66</v>
      </c>
      <c r="K37" s="268"/>
      <c r="L37" s="268"/>
      <c r="M37" s="268"/>
      <c r="N37" s="43"/>
      <c r="O37" s="43"/>
      <c r="P37" s="43"/>
      <c r="Q37" s="43"/>
      <c r="R37" s="43"/>
      <c r="S37" s="43"/>
      <c r="T37" s="43"/>
    </row>
    <row r="38" spans="1:20" x14ac:dyDescent="0.35">
      <c r="A38" s="275"/>
      <c r="B38" s="218">
        <v>0.6</v>
      </c>
      <c r="C38" s="280" t="s">
        <v>93</v>
      </c>
      <c r="D38" s="281"/>
      <c r="E38" s="281"/>
      <c r="F38" s="282"/>
      <c r="G38" s="43"/>
      <c r="H38" s="273"/>
      <c r="I38" s="219">
        <v>6</v>
      </c>
      <c r="J38" s="268" t="s">
        <v>93</v>
      </c>
      <c r="K38" s="268"/>
      <c r="L38" s="268"/>
      <c r="M38" s="268"/>
      <c r="N38" s="43"/>
      <c r="O38" s="43"/>
      <c r="P38" s="43"/>
      <c r="Q38" s="43"/>
      <c r="R38" s="43"/>
      <c r="S38" s="43"/>
      <c r="T38" s="43"/>
    </row>
    <row r="39" spans="1:20" x14ac:dyDescent="0.35">
      <c r="A39" s="275"/>
      <c r="B39" s="218">
        <v>0.7</v>
      </c>
      <c r="C39" s="280" t="s">
        <v>92</v>
      </c>
      <c r="D39" s="281"/>
      <c r="E39" s="281"/>
      <c r="F39" s="282"/>
      <c r="G39" s="43"/>
      <c r="H39" s="273"/>
      <c r="I39" s="219">
        <v>7</v>
      </c>
      <c r="J39" s="268" t="s">
        <v>92</v>
      </c>
      <c r="K39" s="268"/>
      <c r="L39" s="268"/>
      <c r="M39" s="268"/>
      <c r="N39" s="43"/>
      <c r="O39" s="43"/>
      <c r="P39" s="43"/>
      <c r="Q39" s="43"/>
      <c r="R39" s="43"/>
      <c r="S39" s="43"/>
      <c r="T39" s="43"/>
    </row>
    <row r="40" spans="1:20" x14ac:dyDescent="0.35">
      <c r="A40" s="275"/>
      <c r="B40" s="218">
        <v>0.8</v>
      </c>
      <c r="C40" s="280" t="s">
        <v>91</v>
      </c>
      <c r="D40" s="281"/>
      <c r="E40" s="281"/>
      <c r="F40" s="282"/>
      <c r="G40" s="43"/>
      <c r="H40" s="273"/>
      <c r="I40" s="219">
        <v>8</v>
      </c>
      <c r="J40" s="268" t="s">
        <v>91</v>
      </c>
      <c r="K40" s="268"/>
      <c r="L40" s="268"/>
      <c r="M40" s="268"/>
      <c r="N40" s="43"/>
      <c r="O40" s="43"/>
      <c r="P40" s="43"/>
      <c r="Q40" s="43"/>
      <c r="R40" s="43"/>
      <c r="S40" s="43"/>
      <c r="T40" s="43"/>
    </row>
    <row r="41" spans="1:20" x14ac:dyDescent="0.35">
      <c r="A41" s="275"/>
      <c r="B41" s="218">
        <v>0.9</v>
      </c>
      <c r="C41" s="280" t="s">
        <v>90</v>
      </c>
      <c r="D41" s="281"/>
      <c r="E41" s="281"/>
      <c r="F41" s="282"/>
      <c r="G41" s="43"/>
      <c r="H41" s="273"/>
      <c r="I41" s="219">
        <v>9</v>
      </c>
      <c r="J41" s="268" t="s">
        <v>90</v>
      </c>
      <c r="K41" s="268"/>
      <c r="L41" s="268"/>
      <c r="M41" s="268"/>
      <c r="N41" s="43"/>
      <c r="O41" s="43"/>
      <c r="P41" s="43"/>
      <c r="Q41" s="43"/>
      <c r="R41" s="43"/>
      <c r="S41" s="43"/>
      <c r="T41" s="43"/>
    </row>
    <row r="42" spans="1:20" x14ac:dyDescent="0.35">
      <c r="A42" s="276"/>
      <c r="B42" s="218">
        <v>1</v>
      </c>
      <c r="C42" s="280" t="s">
        <v>83</v>
      </c>
      <c r="D42" s="281"/>
      <c r="E42" s="281"/>
      <c r="F42" s="282"/>
      <c r="G42" s="43"/>
      <c r="H42" s="273"/>
      <c r="I42" s="219">
        <v>10</v>
      </c>
      <c r="J42" s="268" t="s">
        <v>83</v>
      </c>
      <c r="K42" s="268"/>
      <c r="L42" s="268"/>
      <c r="M42" s="268"/>
      <c r="N42" s="43"/>
      <c r="O42" s="43"/>
      <c r="P42" s="43"/>
      <c r="Q42" s="43"/>
      <c r="R42" s="43"/>
      <c r="S42" s="43"/>
      <c r="T42" s="43"/>
    </row>
    <row r="43" spans="1:20" x14ac:dyDescent="0.3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spans="1:20" x14ac:dyDescent="0.35">
      <c r="A44" s="269" t="s">
        <v>77</v>
      </c>
      <c r="B44" s="269"/>
      <c r="C44" s="269"/>
      <c r="D44" s="269"/>
      <c r="E44" s="269"/>
      <c r="F44" s="222">
        <v>0</v>
      </c>
      <c r="G44" s="43"/>
      <c r="H44" s="269" t="s">
        <v>77</v>
      </c>
      <c r="I44" s="269"/>
      <c r="J44" s="269"/>
      <c r="K44" s="269"/>
      <c r="L44" s="269"/>
      <c r="M44" s="222">
        <v>0</v>
      </c>
      <c r="N44" s="43"/>
      <c r="O44" s="269" t="s">
        <v>77</v>
      </c>
      <c r="P44" s="269"/>
      <c r="Q44" s="269"/>
      <c r="R44" s="269"/>
      <c r="S44" s="269"/>
      <c r="T44" s="222">
        <v>0</v>
      </c>
    </row>
    <row r="45" spans="1:20" x14ac:dyDescent="0.35">
      <c r="A45" s="269" t="s">
        <v>89</v>
      </c>
      <c r="B45" s="269"/>
      <c r="C45" s="269"/>
      <c r="D45" s="269"/>
      <c r="E45" s="269"/>
      <c r="F45" s="223">
        <v>2</v>
      </c>
      <c r="G45" s="43"/>
      <c r="H45" s="269" t="s">
        <v>89</v>
      </c>
      <c r="I45" s="269"/>
      <c r="J45" s="269"/>
      <c r="K45" s="269"/>
      <c r="L45" s="269"/>
      <c r="M45" s="223">
        <v>2</v>
      </c>
      <c r="N45" s="43"/>
      <c r="O45" s="269" t="s">
        <v>89</v>
      </c>
      <c r="P45" s="269"/>
      <c r="Q45" s="269"/>
      <c r="R45" s="269"/>
      <c r="S45" s="269"/>
      <c r="T45" s="223">
        <v>1</v>
      </c>
    </row>
    <row r="46" spans="1:20" ht="15" thickBot="1" x14ac:dyDescent="0.4"/>
    <row r="47" spans="1:20" ht="15" thickBot="1" x14ac:dyDescent="0.4">
      <c r="A47" s="340" t="s">
        <v>200</v>
      </c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2"/>
    </row>
    <row r="49" spans="1:20" x14ac:dyDescent="0.35">
      <c r="A49" s="43" t="s">
        <v>201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20" ht="15" thickBot="1" x14ac:dyDescent="0.4"/>
    <row r="51" spans="1:20" ht="15" thickBot="1" x14ac:dyDescent="0.4">
      <c r="A51" s="270" t="s">
        <v>202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2"/>
    </row>
    <row r="52" spans="1:20" x14ac:dyDescent="0.35">
      <c r="H52" s="11"/>
      <c r="I52" s="11"/>
      <c r="J52" s="11"/>
      <c r="K52" s="11"/>
      <c r="L52" s="11"/>
      <c r="M52" s="11"/>
    </row>
    <row r="53" spans="1:20" x14ac:dyDescent="0.35">
      <c r="A53" s="43" t="s">
        <v>203</v>
      </c>
      <c r="B53" s="4"/>
      <c r="C53" s="4"/>
      <c r="D53" s="4"/>
      <c r="E53" s="4"/>
      <c r="F53" s="4"/>
      <c r="G53" s="4"/>
      <c r="H53" s="243"/>
      <c r="I53" s="243"/>
      <c r="J53" s="243"/>
      <c r="K53" s="243"/>
      <c r="L53" s="243"/>
      <c r="M53" s="243"/>
    </row>
    <row r="54" spans="1:20" ht="15" thickBot="1" x14ac:dyDescent="0.4">
      <c r="H54" s="11"/>
      <c r="I54" s="11"/>
      <c r="J54" s="11"/>
      <c r="K54" s="11"/>
      <c r="L54" s="11"/>
      <c r="M54" s="11"/>
    </row>
    <row r="55" spans="1:20" ht="14.5" customHeight="1" thickBot="1" x14ac:dyDescent="0.4">
      <c r="A55" s="331" t="s">
        <v>163</v>
      </c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3"/>
    </row>
    <row r="56" spans="1:20" ht="14.5" customHeight="1" thickBot="1" x14ac:dyDescent="0.4">
      <c r="A56" s="2"/>
      <c r="B56" s="2"/>
      <c r="C56" s="2"/>
      <c r="D56" s="2"/>
      <c r="E56" s="2"/>
      <c r="F56" s="2"/>
    </row>
    <row r="57" spans="1:20" ht="14.5" customHeight="1" thickBot="1" x14ac:dyDescent="0.4">
      <c r="A57" s="334" t="s">
        <v>164</v>
      </c>
      <c r="B57" s="335"/>
      <c r="C57" s="335"/>
      <c r="D57" s="336"/>
      <c r="E57" s="337">
        <v>0</v>
      </c>
      <c r="F57" s="338"/>
      <c r="H57" s="339"/>
      <c r="I57" s="339"/>
      <c r="J57" s="339"/>
      <c r="K57" s="339"/>
      <c r="L57" s="339"/>
      <c r="M57" s="339"/>
      <c r="O57" s="339"/>
      <c r="P57" s="339"/>
      <c r="Q57" s="339"/>
      <c r="R57" s="339"/>
      <c r="S57" s="339"/>
    </row>
    <row r="58" spans="1:20" ht="15" thickBot="1" x14ac:dyDescent="0.4">
      <c r="A58" s="319" t="s">
        <v>165</v>
      </c>
      <c r="B58" s="320"/>
      <c r="C58" s="320"/>
      <c r="D58" s="321"/>
      <c r="E58" s="322">
        <f>F24+M24+T24+F45+M45+T45</f>
        <v>10</v>
      </c>
      <c r="F58" s="323"/>
    </row>
    <row r="59" spans="1:20" ht="15" thickBot="1" x14ac:dyDescent="0.4">
      <c r="A59" s="43"/>
      <c r="B59" s="43"/>
      <c r="C59" s="43"/>
      <c r="D59" s="43"/>
      <c r="E59" s="43"/>
      <c r="F59" s="43"/>
    </row>
    <row r="60" spans="1:20" ht="15" thickBot="1" x14ac:dyDescent="0.4">
      <c r="A60" s="324" t="s">
        <v>166</v>
      </c>
      <c r="B60" s="325"/>
      <c r="C60" s="326"/>
      <c r="D60" s="231" t="s">
        <v>167</v>
      </c>
      <c r="E60" s="327" t="s">
        <v>168</v>
      </c>
      <c r="F60" s="328"/>
    </row>
    <row r="61" spans="1:20" ht="15" thickBot="1" x14ac:dyDescent="0.4">
      <c r="A61" s="312" t="s">
        <v>307</v>
      </c>
      <c r="B61" s="313"/>
      <c r="C61" s="314"/>
      <c r="D61" s="227" t="s">
        <v>257</v>
      </c>
      <c r="E61" s="329"/>
      <c r="F61" s="330"/>
    </row>
    <row r="62" spans="1:20" ht="15" thickBot="1" x14ac:dyDescent="0.4">
      <c r="A62" s="307" t="s">
        <v>308</v>
      </c>
      <c r="B62" s="308"/>
      <c r="C62" s="309"/>
      <c r="D62" s="228" t="s">
        <v>261</v>
      </c>
      <c r="E62" s="310"/>
      <c r="F62" s="311"/>
    </row>
    <row r="63" spans="1:20" ht="15" thickBot="1" x14ac:dyDescent="0.4">
      <c r="A63" s="312" t="s">
        <v>309</v>
      </c>
      <c r="B63" s="313"/>
      <c r="C63" s="314"/>
      <c r="D63" s="229" t="s">
        <v>260</v>
      </c>
      <c r="E63" s="315"/>
      <c r="F63" s="316"/>
    </row>
    <row r="64" spans="1:20" ht="15" thickBot="1" x14ac:dyDescent="0.4">
      <c r="A64" s="307" t="s">
        <v>310</v>
      </c>
      <c r="B64" s="308"/>
      <c r="C64" s="309"/>
      <c r="D64" s="228" t="s">
        <v>259</v>
      </c>
      <c r="E64" s="317"/>
      <c r="F64" s="318"/>
    </row>
    <row r="65" spans="1:6" ht="15" thickBot="1" x14ac:dyDescent="0.4">
      <c r="A65" s="298" t="s">
        <v>311</v>
      </c>
      <c r="B65" s="299"/>
      <c r="C65" s="300"/>
      <c r="D65" s="230" t="s">
        <v>258</v>
      </c>
      <c r="E65" s="301"/>
      <c r="F65" s="302"/>
    </row>
  </sheetData>
  <mergeCells count="118">
    <mergeCell ref="C9:F9"/>
    <mergeCell ref="J9:M9"/>
    <mergeCell ref="Q9:T9"/>
    <mergeCell ref="Q10:T10"/>
    <mergeCell ref="A1:T1"/>
    <mergeCell ref="A3:T3"/>
    <mergeCell ref="B7:F7"/>
    <mergeCell ref="I7:M7"/>
    <mergeCell ref="P7:T7"/>
    <mergeCell ref="C8:F8"/>
    <mergeCell ref="J8:M8"/>
    <mergeCell ref="A5:T5"/>
    <mergeCell ref="O7:O9"/>
    <mergeCell ref="C41:F41"/>
    <mergeCell ref="Q13:T13"/>
    <mergeCell ref="C14:F14"/>
    <mergeCell ref="J14:M14"/>
    <mergeCell ref="Q14:T14"/>
    <mergeCell ref="C11:F11"/>
    <mergeCell ref="J11:M11"/>
    <mergeCell ref="Q11:T11"/>
    <mergeCell ref="C12:F12"/>
    <mergeCell ref="J12:M12"/>
    <mergeCell ref="Q12:T12"/>
    <mergeCell ref="H10:H21"/>
    <mergeCell ref="C34:F34"/>
    <mergeCell ref="C35:F35"/>
    <mergeCell ref="J34:M34"/>
    <mergeCell ref="J35:M35"/>
    <mergeCell ref="C36:F36"/>
    <mergeCell ref="C37:F37"/>
    <mergeCell ref="C38:F38"/>
    <mergeCell ref="C39:F39"/>
    <mergeCell ref="C40:F40"/>
    <mergeCell ref="O24:S24"/>
    <mergeCell ref="C13:F13"/>
    <mergeCell ref="J21:M21"/>
    <mergeCell ref="A57:D57"/>
    <mergeCell ref="E57:F57"/>
    <mergeCell ref="H57:M57"/>
    <mergeCell ref="O57:S57"/>
    <mergeCell ref="A44:E44"/>
    <mergeCell ref="H44:L44"/>
    <mergeCell ref="A45:E45"/>
    <mergeCell ref="H45:L45"/>
    <mergeCell ref="A47:T47"/>
    <mergeCell ref="A65:C65"/>
    <mergeCell ref="E65:F65"/>
    <mergeCell ref="A7:A9"/>
    <mergeCell ref="B10:F10"/>
    <mergeCell ref="A10:A21"/>
    <mergeCell ref="C15:F15"/>
    <mergeCell ref="C16:F16"/>
    <mergeCell ref="C17:F17"/>
    <mergeCell ref="C18:F18"/>
    <mergeCell ref="C19:F19"/>
    <mergeCell ref="A62:C62"/>
    <mergeCell ref="E62:F62"/>
    <mergeCell ref="A63:C63"/>
    <mergeCell ref="E63:F63"/>
    <mergeCell ref="A64:C64"/>
    <mergeCell ref="E64:F64"/>
    <mergeCell ref="A58:D58"/>
    <mergeCell ref="E58:F58"/>
    <mergeCell ref="A60:C60"/>
    <mergeCell ref="E60:F60"/>
    <mergeCell ref="A61:C61"/>
    <mergeCell ref="A28:A30"/>
    <mergeCell ref="E61:F61"/>
    <mergeCell ref="A55:T55"/>
    <mergeCell ref="J29:M29"/>
    <mergeCell ref="B31:F31"/>
    <mergeCell ref="C29:F29"/>
    <mergeCell ref="C30:F30"/>
    <mergeCell ref="C20:F20"/>
    <mergeCell ref="C21:F21"/>
    <mergeCell ref="H7:H9"/>
    <mergeCell ref="I10:M10"/>
    <mergeCell ref="J15:M15"/>
    <mergeCell ref="J16:M16"/>
    <mergeCell ref="J17:M17"/>
    <mergeCell ref="J18:M18"/>
    <mergeCell ref="J19:M19"/>
    <mergeCell ref="J20:M20"/>
    <mergeCell ref="A26:T26"/>
    <mergeCell ref="B28:F28"/>
    <mergeCell ref="I28:M28"/>
    <mergeCell ref="A23:E23"/>
    <mergeCell ref="H23:L23"/>
    <mergeCell ref="O23:S23"/>
    <mergeCell ref="A24:E24"/>
    <mergeCell ref="H24:L24"/>
    <mergeCell ref="J30:M30"/>
    <mergeCell ref="Q8:T8"/>
    <mergeCell ref="J32:M32"/>
    <mergeCell ref="J33:M33"/>
    <mergeCell ref="C32:F32"/>
    <mergeCell ref="C33:F33"/>
    <mergeCell ref="J13:M13"/>
    <mergeCell ref="O44:S44"/>
    <mergeCell ref="O45:S45"/>
    <mergeCell ref="A51:T51"/>
    <mergeCell ref="J42:M42"/>
    <mergeCell ref="H31:H42"/>
    <mergeCell ref="H28:H30"/>
    <mergeCell ref="O28:O30"/>
    <mergeCell ref="P28:T28"/>
    <mergeCell ref="Q29:T29"/>
    <mergeCell ref="Q30:T30"/>
    <mergeCell ref="J36:M36"/>
    <mergeCell ref="J37:M37"/>
    <mergeCell ref="J38:M38"/>
    <mergeCell ref="J39:M39"/>
    <mergeCell ref="J40:M40"/>
    <mergeCell ref="J41:M41"/>
    <mergeCell ref="C42:F42"/>
    <mergeCell ref="A31:A42"/>
    <mergeCell ref="I31:M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AB82B-31A0-4BC3-9F30-B4DE983B6084}">
  <sheetPr>
    <tabColor rgb="FFFFEBEB"/>
  </sheetPr>
  <dimension ref="A1:AC59"/>
  <sheetViews>
    <sheetView topLeftCell="A29" zoomScale="70" zoomScaleNormal="70" workbookViewId="0">
      <selection activeCell="A50" sqref="A50"/>
    </sheetView>
  </sheetViews>
  <sheetFormatPr defaultRowHeight="14.5" x14ac:dyDescent="0.35"/>
  <cols>
    <col min="1" max="1" width="23.6328125" customWidth="1"/>
    <col min="2" max="3" width="12.7265625" customWidth="1"/>
    <col min="4" max="5" width="12.7265625" style="1" customWidth="1"/>
    <col min="6" max="10" width="12.7265625" customWidth="1"/>
    <col min="11" max="12" width="12.7265625" style="12" customWidth="1"/>
    <col min="13" max="13" width="12.54296875" customWidth="1"/>
    <col min="14" max="19" width="12.7265625" customWidth="1"/>
    <col min="20" max="20" width="12.7265625" style="1" customWidth="1"/>
    <col min="21" max="24" width="12.7265625" customWidth="1"/>
    <col min="25" max="25" width="12.6328125" customWidth="1"/>
    <col min="26" max="26" width="22.81640625" customWidth="1"/>
    <col min="27" max="28" width="22.7265625" customWidth="1"/>
    <col min="29" max="29" width="44.26953125" customWidth="1"/>
  </cols>
  <sheetData>
    <row r="1" spans="1:29" ht="18" x14ac:dyDescent="0.4">
      <c r="A1" s="33" t="s">
        <v>182</v>
      </c>
    </row>
    <row r="2" spans="1:29" ht="19" thickBot="1" x14ac:dyDescent="0.5">
      <c r="A2" s="5"/>
    </row>
    <row r="3" spans="1:29" ht="15" customHeight="1" thickBot="1" x14ac:dyDescent="0.4">
      <c r="A3" s="34"/>
      <c r="B3" s="29" t="s">
        <v>49</v>
      </c>
      <c r="C3" s="57" t="s">
        <v>183</v>
      </c>
      <c r="D3" s="350" t="s">
        <v>181</v>
      </c>
      <c r="E3" s="351"/>
      <c r="F3" s="351"/>
      <c r="G3" s="351"/>
      <c r="H3" s="351"/>
      <c r="I3" s="351"/>
      <c r="J3" s="351"/>
      <c r="K3" s="351"/>
      <c r="L3" s="351"/>
      <c r="M3" s="351"/>
      <c r="N3" s="352"/>
      <c r="O3" s="359" t="s">
        <v>186</v>
      </c>
      <c r="P3" s="360"/>
      <c r="Q3" s="360"/>
      <c r="R3" s="360"/>
      <c r="S3" s="360"/>
      <c r="T3" s="360"/>
      <c r="U3" s="360"/>
      <c r="V3" s="360"/>
      <c r="W3" s="360"/>
      <c r="X3" s="360"/>
      <c r="Y3" s="361"/>
      <c r="Z3" s="362" t="s">
        <v>138</v>
      </c>
      <c r="AA3" s="362" t="s">
        <v>127</v>
      </c>
      <c r="AB3" s="357" t="s">
        <v>172</v>
      </c>
      <c r="AC3" s="355" t="s">
        <v>268</v>
      </c>
    </row>
    <row r="4" spans="1:29" ht="34.5" customHeight="1" thickBot="1" x14ac:dyDescent="0.4">
      <c r="A4" s="35" t="s">
        <v>0</v>
      </c>
      <c r="B4" s="29" t="s">
        <v>52</v>
      </c>
      <c r="C4" s="57" t="s">
        <v>52</v>
      </c>
      <c r="D4" s="40" t="s">
        <v>189</v>
      </c>
      <c r="E4" s="38" t="s">
        <v>179</v>
      </c>
      <c r="F4" s="38" t="s">
        <v>127</v>
      </c>
      <c r="G4" s="38" t="s">
        <v>114</v>
      </c>
      <c r="H4" s="38" t="s">
        <v>59</v>
      </c>
      <c r="I4" s="38" t="s">
        <v>184</v>
      </c>
      <c r="J4" s="38" t="s">
        <v>179</v>
      </c>
      <c r="K4" s="38" t="s">
        <v>115</v>
      </c>
      <c r="L4" s="38" t="s">
        <v>59</v>
      </c>
      <c r="M4" s="38" t="s">
        <v>185</v>
      </c>
      <c r="N4" s="58" t="s">
        <v>85</v>
      </c>
      <c r="O4" s="40" t="s">
        <v>187</v>
      </c>
      <c r="P4" s="38" t="s">
        <v>179</v>
      </c>
      <c r="Q4" s="38" t="s">
        <v>127</v>
      </c>
      <c r="R4" s="38" t="s">
        <v>120</v>
      </c>
      <c r="S4" s="38" t="s">
        <v>59</v>
      </c>
      <c r="T4" s="38" t="s">
        <v>184</v>
      </c>
      <c r="U4" s="38" t="s">
        <v>179</v>
      </c>
      <c r="V4" s="38" t="s">
        <v>119</v>
      </c>
      <c r="W4" s="38" t="s">
        <v>59</v>
      </c>
      <c r="X4" s="38" t="s">
        <v>188</v>
      </c>
      <c r="Y4" s="59" t="s">
        <v>107</v>
      </c>
      <c r="Z4" s="363"/>
      <c r="AA4" s="363"/>
      <c r="AB4" s="358"/>
      <c r="AC4" s="356"/>
    </row>
    <row r="5" spans="1:29" ht="15" thickBot="1" x14ac:dyDescent="0.4">
      <c r="A5" s="20"/>
      <c r="B5" s="20"/>
      <c r="C5" s="20"/>
      <c r="D5" s="41"/>
      <c r="E5" s="41"/>
      <c r="F5" s="20"/>
      <c r="G5" s="20"/>
      <c r="H5" s="20"/>
      <c r="I5" s="20"/>
      <c r="J5" s="20"/>
      <c r="K5" s="42"/>
      <c r="L5" s="42"/>
      <c r="M5" s="20"/>
      <c r="N5" s="20"/>
      <c r="O5" s="20"/>
      <c r="P5" s="20"/>
      <c r="Q5" s="20"/>
      <c r="R5" s="20"/>
      <c r="S5" s="20"/>
      <c r="T5" s="41"/>
      <c r="U5" s="20"/>
      <c r="V5" s="20"/>
      <c r="W5" s="20"/>
      <c r="X5" s="20"/>
      <c r="Y5" s="20"/>
      <c r="Z5" s="20"/>
      <c r="AA5" s="20"/>
      <c r="AB5" s="20"/>
    </row>
    <row r="6" spans="1:29" x14ac:dyDescent="0.35">
      <c r="A6" s="20" t="s">
        <v>5</v>
      </c>
      <c r="B6" s="60">
        <v>1170</v>
      </c>
      <c r="C6" s="61">
        <v>2</v>
      </c>
      <c r="D6" s="62" t="s">
        <v>174</v>
      </c>
      <c r="E6" s="63">
        <v>0</v>
      </c>
      <c r="F6" s="64">
        <f t="shared" ref="F6:F52" si="0">E6/C6*100</f>
        <v>0</v>
      </c>
      <c r="G6" s="65">
        <v>0</v>
      </c>
      <c r="H6" s="66">
        <f t="shared" ref="H6:H11" si="1">0.1*E6</f>
        <v>0</v>
      </c>
      <c r="I6" s="62" t="s">
        <v>174</v>
      </c>
      <c r="J6" s="63">
        <v>0</v>
      </c>
      <c r="K6" s="67">
        <v>0</v>
      </c>
      <c r="L6" s="68">
        <v>0</v>
      </c>
      <c r="M6" s="62" t="s">
        <v>174</v>
      </c>
      <c r="N6" s="66">
        <v>0</v>
      </c>
      <c r="O6" s="62" t="s">
        <v>175</v>
      </c>
      <c r="P6" s="63">
        <v>2</v>
      </c>
      <c r="Q6" s="64">
        <f>2/5*100</f>
        <v>40</v>
      </c>
      <c r="R6" s="65">
        <v>1</v>
      </c>
      <c r="S6" s="66">
        <v>0.4</v>
      </c>
      <c r="T6" s="62" t="s">
        <v>174</v>
      </c>
      <c r="U6" s="69">
        <v>0</v>
      </c>
      <c r="V6" s="65">
        <v>0</v>
      </c>
      <c r="W6" s="66">
        <f t="shared" ref="W6:W52" si="2">0.1*U6</f>
        <v>0</v>
      </c>
      <c r="X6" s="70" t="s">
        <v>174</v>
      </c>
      <c r="Y6" s="68">
        <v>0</v>
      </c>
      <c r="Z6" s="71">
        <f t="shared" ref="Z6:Z52" si="3">G6+H6+K6+L6+N6+R6+S6+V6+W6+Y6</f>
        <v>1.4</v>
      </c>
      <c r="AA6" s="257">
        <f>(Z6/10)*100</f>
        <v>13.999999999999998</v>
      </c>
      <c r="AB6" s="73"/>
    </row>
    <row r="7" spans="1:29" x14ac:dyDescent="0.35">
      <c r="A7" s="20" t="s">
        <v>6</v>
      </c>
      <c r="B7" s="74">
        <v>2920</v>
      </c>
      <c r="C7" s="75">
        <v>4</v>
      </c>
      <c r="D7" s="76" t="s">
        <v>174</v>
      </c>
      <c r="E7" s="77">
        <v>0</v>
      </c>
      <c r="F7" s="78">
        <f t="shared" si="0"/>
        <v>0</v>
      </c>
      <c r="G7" s="79">
        <v>0</v>
      </c>
      <c r="H7" s="80">
        <f t="shared" si="1"/>
        <v>0</v>
      </c>
      <c r="I7" s="76" t="s">
        <v>174</v>
      </c>
      <c r="J7" s="77">
        <v>0</v>
      </c>
      <c r="K7" s="81">
        <v>0</v>
      </c>
      <c r="L7" s="82">
        <v>0</v>
      </c>
      <c r="M7" s="76" t="s">
        <v>174</v>
      </c>
      <c r="N7" s="80">
        <v>0</v>
      </c>
      <c r="O7" s="76" t="s">
        <v>174</v>
      </c>
      <c r="P7" s="77">
        <v>0</v>
      </c>
      <c r="Q7" s="83">
        <v>0</v>
      </c>
      <c r="R7" s="79">
        <v>0</v>
      </c>
      <c r="S7" s="80">
        <v>0</v>
      </c>
      <c r="T7" s="76" t="s">
        <v>174</v>
      </c>
      <c r="U7" s="84">
        <v>0</v>
      </c>
      <c r="V7" s="79">
        <v>0</v>
      </c>
      <c r="W7" s="80">
        <f t="shared" si="2"/>
        <v>0</v>
      </c>
      <c r="X7" s="85" t="s">
        <v>174</v>
      </c>
      <c r="Y7" s="82">
        <v>0</v>
      </c>
      <c r="Z7" s="86">
        <f t="shared" si="3"/>
        <v>0</v>
      </c>
      <c r="AA7" s="129">
        <f t="shared" ref="AA7:AA52" si="4">(Z7/10)*100</f>
        <v>0</v>
      </c>
      <c r="AB7" s="88"/>
    </row>
    <row r="8" spans="1:29" x14ac:dyDescent="0.35">
      <c r="A8" s="20" t="s">
        <v>178</v>
      </c>
      <c r="B8" s="74">
        <v>2610</v>
      </c>
      <c r="C8" s="75">
        <v>5</v>
      </c>
      <c r="D8" s="76" t="s">
        <v>174</v>
      </c>
      <c r="E8" s="77">
        <v>0</v>
      </c>
      <c r="F8" s="78">
        <f t="shared" si="0"/>
        <v>0</v>
      </c>
      <c r="G8" s="79">
        <v>0</v>
      </c>
      <c r="H8" s="80">
        <f t="shared" si="1"/>
        <v>0</v>
      </c>
      <c r="I8" s="76" t="s">
        <v>174</v>
      </c>
      <c r="J8" s="77">
        <v>0</v>
      </c>
      <c r="K8" s="81">
        <v>0</v>
      </c>
      <c r="L8" s="82">
        <v>0</v>
      </c>
      <c r="M8" s="76" t="s">
        <v>174</v>
      </c>
      <c r="N8" s="80">
        <v>0</v>
      </c>
      <c r="O8" s="76" t="s">
        <v>174</v>
      </c>
      <c r="P8" s="77">
        <v>0</v>
      </c>
      <c r="Q8" s="83">
        <v>0</v>
      </c>
      <c r="R8" s="79">
        <v>0</v>
      </c>
      <c r="S8" s="80">
        <v>0</v>
      </c>
      <c r="T8" s="76" t="s">
        <v>174</v>
      </c>
      <c r="U8" s="84">
        <v>0</v>
      </c>
      <c r="V8" s="79">
        <v>0</v>
      </c>
      <c r="W8" s="80">
        <f t="shared" si="2"/>
        <v>0</v>
      </c>
      <c r="X8" s="85" t="s">
        <v>174</v>
      </c>
      <c r="Y8" s="82">
        <v>0</v>
      </c>
      <c r="Z8" s="86">
        <f t="shared" si="3"/>
        <v>0</v>
      </c>
      <c r="AA8" s="129">
        <f t="shared" si="4"/>
        <v>0</v>
      </c>
      <c r="AB8" s="88"/>
    </row>
    <row r="9" spans="1:29" x14ac:dyDescent="0.35">
      <c r="A9" s="20" t="s">
        <v>8</v>
      </c>
      <c r="B9" s="74">
        <v>1430</v>
      </c>
      <c r="C9" s="75">
        <v>2</v>
      </c>
      <c r="D9" s="76" t="s">
        <v>174</v>
      </c>
      <c r="E9" s="77">
        <v>0</v>
      </c>
      <c r="F9" s="78">
        <f t="shared" si="0"/>
        <v>0</v>
      </c>
      <c r="G9" s="79">
        <v>0</v>
      </c>
      <c r="H9" s="80">
        <f t="shared" si="1"/>
        <v>0</v>
      </c>
      <c r="I9" s="76" t="s">
        <v>174</v>
      </c>
      <c r="J9" s="77">
        <v>0</v>
      </c>
      <c r="K9" s="81">
        <v>0</v>
      </c>
      <c r="L9" s="82">
        <v>0</v>
      </c>
      <c r="M9" s="76" t="s">
        <v>174</v>
      </c>
      <c r="N9" s="80">
        <v>0</v>
      </c>
      <c r="O9" s="76" t="s">
        <v>174</v>
      </c>
      <c r="P9" s="77">
        <v>0</v>
      </c>
      <c r="Q9" s="83">
        <v>0</v>
      </c>
      <c r="R9" s="79">
        <v>0</v>
      </c>
      <c r="S9" s="80">
        <v>0</v>
      </c>
      <c r="T9" s="76" t="s">
        <v>174</v>
      </c>
      <c r="U9" s="84">
        <v>0</v>
      </c>
      <c r="V9" s="79">
        <v>0</v>
      </c>
      <c r="W9" s="80">
        <f t="shared" si="2"/>
        <v>0</v>
      </c>
      <c r="X9" s="85" t="s">
        <v>174</v>
      </c>
      <c r="Y9" s="82">
        <v>0</v>
      </c>
      <c r="Z9" s="86">
        <f t="shared" si="3"/>
        <v>0</v>
      </c>
      <c r="AA9" s="129">
        <f t="shared" si="4"/>
        <v>0</v>
      </c>
      <c r="AB9" s="88"/>
    </row>
    <row r="10" spans="1:29" x14ac:dyDescent="0.35">
      <c r="A10" s="20" t="s">
        <v>9</v>
      </c>
      <c r="B10" s="74">
        <v>2510</v>
      </c>
      <c r="C10" s="75">
        <v>3</v>
      </c>
      <c r="D10" s="76" t="s">
        <v>174</v>
      </c>
      <c r="E10" s="77">
        <v>0</v>
      </c>
      <c r="F10" s="78">
        <f t="shared" si="0"/>
        <v>0</v>
      </c>
      <c r="G10" s="79">
        <v>0</v>
      </c>
      <c r="H10" s="80">
        <f t="shared" si="1"/>
        <v>0</v>
      </c>
      <c r="I10" s="76" t="s">
        <v>174</v>
      </c>
      <c r="J10" s="77">
        <v>0</v>
      </c>
      <c r="K10" s="81">
        <v>0</v>
      </c>
      <c r="L10" s="82">
        <v>0</v>
      </c>
      <c r="M10" s="76" t="s">
        <v>174</v>
      </c>
      <c r="N10" s="80">
        <v>0</v>
      </c>
      <c r="O10" s="76" t="s">
        <v>174</v>
      </c>
      <c r="P10" s="77">
        <v>0</v>
      </c>
      <c r="Q10" s="83">
        <v>0</v>
      </c>
      <c r="R10" s="79">
        <v>0</v>
      </c>
      <c r="S10" s="80">
        <v>0</v>
      </c>
      <c r="T10" s="76" t="s">
        <v>174</v>
      </c>
      <c r="U10" s="84">
        <v>0</v>
      </c>
      <c r="V10" s="79">
        <v>0</v>
      </c>
      <c r="W10" s="80">
        <f t="shared" si="2"/>
        <v>0</v>
      </c>
      <c r="X10" s="85" t="s">
        <v>174</v>
      </c>
      <c r="Y10" s="82">
        <v>0</v>
      </c>
      <c r="Z10" s="86">
        <f t="shared" si="3"/>
        <v>0</v>
      </c>
      <c r="AA10" s="129">
        <f t="shared" si="4"/>
        <v>0</v>
      </c>
      <c r="AB10" s="88"/>
    </row>
    <row r="11" spans="1:29" x14ac:dyDescent="0.35">
      <c r="A11" s="20" t="s">
        <v>10</v>
      </c>
      <c r="B11" s="74">
        <v>7440</v>
      </c>
      <c r="C11" s="75">
        <v>10</v>
      </c>
      <c r="D11" s="76" t="s">
        <v>177</v>
      </c>
      <c r="E11" s="77">
        <v>0</v>
      </c>
      <c r="F11" s="78">
        <f t="shared" si="0"/>
        <v>0</v>
      </c>
      <c r="G11" s="79">
        <v>0</v>
      </c>
      <c r="H11" s="80">
        <f t="shared" si="1"/>
        <v>0</v>
      </c>
      <c r="I11" s="76" t="s">
        <v>174</v>
      </c>
      <c r="J11" s="77">
        <v>0</v>
      </c>
      <c r="K11" s="81">
        <v>0</v>
      </c>
      <c r="L11" s="82">
        <v>0</v>
      </c>
      <c r="M11" s="76" t="s">
        <v>174</v>
      </c>
      <c r="N11" s="80">
        <v>0</v>
      </c>
      <c r="O11" s="76" t="s">
        <v>174</v>
      </c>
      <c r="P11" s="77">
        <v>0</v>
      </c>
      <c r="Q11" s="83">
        <v>0</v>
      </c>
      <c r="R11" s="79">
        <v>0</v>
      </c>
      <c r="S11" s="80">
        <v>0</v>
      </c>
      <c r="T11" s="76" t="s">
        <v>174</v>
      </c>
      <c r="U11" s="84">
        <v>0</v>
      </c>
      <c r="V11" s="79">
        <v>0</v>
      </c>
      <c r="W11" s="80">
        <f t="shared" si="2"/>
        <v>0</v>
      </c>
      <c r="X11" s="85" t="s">
        <v>174</v>
      </c>
      <c r="Y11" s="82">
        <v>0</v>
      </c>
      <c r="Z11" s="86">
        <f t="shared" si="3"/>
        <v>0</v>
      </c>
      <c r="AA11" s="129">
        <f t="shared" si="4"/>
        <v>0</v>
      </c>
      <c r="AB11" s="88"/>
    </row>
    <row r="12" spans="1:29" x14ac:dyDescent="0.35">
      <c r="A12" s="20" t="s">
        <v>11</v>
      </c>
      <c r="B12" s="74">
        <v>4000</v>
      </c>
      <c r="C12" s="75">
        <v>5</v>
      </c>
      <c r="D12" s="76" t="s">
        <v>175</v>
      </c>
      <c r="E12" s="77">
        <v>3</v>
      </c>
      <c r="F12" s="78">
        <f t="shared" si="0"/>
        <v>60</v>
      </c>
      <c r="G12" s="79">
        <v>1</v>
      </c>
      <c r="H12" s="80">
        <v>0.6</v>
      </c>
      <c r="I12" s="76" t="s">
        <v>175</v>
      </c>
      <c r="J12" s="77">
        <v>1</v>
      </c>
      <c r="K12" s="81">
        <v>1</v>
      </c>
      <c r="L12" s="82">
        <f>0.1*J12</f>
        <v>0.1</v>
      </c>
      <c r="M12" s="76" t="s">
        <v>175</v>
      </c>
      <c r="N12" s="80">
        <v>1</v>
      </c>
      <c r="O12" s="76" t="s">
        <v>175</v>
      </c>
      <c r="P12" s="77">
        <v>3</v>
      </c>
      <c r="Q12" s="83">
        <f>3/5*100</f>
        <v>60</v>
      </c>
      <c r="R12" s="79">
        <v>1</v>
      </c>
      <c r="S12" s="80">
        <v>0.6</v>
      </c>
      <c r="T12" s="76" t="s">
        <v>175</v>
      </c>
      <c r="U12" s="84">
        <v>1</v>
      </c>
      <c r="V12" s="79">
        <v>1</v>
      </c>
      <c r="W12" s="80">
        <f t="shared" si="2"/>
        <v>0.1</v>
      </c>
      <c r="X12" s="85" t="s">
        <v>175</v>
      </c>
      <c r="Y12" s="82">
        <v>1</v>
      </c>
      <c r="Z12" s="86">
        <f t="shared" si="3"/>
        <v>7.3999999999999995</v>
      </c>
      <c r="AA12" s="129">
        <f t="shared" si="4"/>
        <v>74</v>
      </c>
      <c r="AB12" s="255"/>
      <c r="AC12" s="20" t="s">
        <v>269</v>
      </c>
    </row>
    <row r="13" spans="1:29" x14ac:dyDescent="0.35">
      <c r="A13" s="20" t="s">
        <v>12</v>
      </c>
      <c r="B13" s="74">
        <v>3050</v>
      </c>
      <c r="C13" s="75">
        <v>4</v>
      </c>
      <c r="D13" s="76" t="s">
        <v>174</v>
      </c>
      <c r="E13" s="77">
        <v>0</v>
      </c>
      <c r="F13" s="78">
        <f t="shared" si="0"/>
        <v>0</v>
      </c>
      <c r="G13" s="79">
        <v>0</v>
      </c>
      <c r="H13" s="80">
        <f>0.1*E13</f>
        <v>0</v>
      </c>
      <c r="I13" s="76" t="s">
        <v>174</v>
      </c>
      <c r="J13" s="77">
        <v>0</v>
      </c>
      <c r="K13" s="81">
        <v>0</v>
      </c>
      <c r="L13" s="82">
        <v>0</v>
      </c>
      <c r="M13" s="76" t="s">
        <v>174</v>
      </c>
      <c r="N13" s="80">
        <v>0</v>
      </c>
      <c r="O13" s="76" t="s">
        <v>174</v>
      </c>
      <c r="P13" s="77">
        <v>0</v>
      </c>
      <c r="Q13" s="83">
        <v>0</v>
      </c>
      <c r="R13" s="79">
        <v>0</v>
      </c>
      <c r="S13" s="80">
        <v>0</v>
      </c>
      <c r="T13" s="76" t="s">
        <v>174</v>
      </c>
      <c r="U13" s="84">
        <v>0</v>
      </c>
      <c r="V13" s="79">
        <v>0</v>
      </c>
      <c r="W13" s="80">
        <f t="shared" si="2"/>
        <v>0</v>
      </c>
      <c r="X13" s="85" t="s">
        <v>174</v>
      </c>
      <c r="Y13" s="82">
        <v>0</v>
      </c>
      <c r="Z13" s="86">
        <f t="shared" si="3"/>
        <v>0</v>
      </c>
      <c r="AA13" s="129">
        <f t="shared" si="4"/>
        <v>0</v>
      </c>
      <c r="AB13" s="88"/>
    </row>
    <row r="14" spans="1:29" x14ac:dyDescent="0.35">
      <c r="A14" s="20" t="s">
        <v>13</v>
      </c>
      <c r="B14" s="89" t="s">
        <v>50</v>
      </c>
      <c r="C14" s="75">
        <v>1</v>
      </c>
      <c r="D14" s="76" t="s">
        <v>174</v>
      </c>
      <c r="E14" s="77">
        <v>0</v>
      </c>
      <c r="F14" s="78">
        <f t="shared" si="0"/>
        <v>0</v>
      </c>
      <c r="G14" s="79">
        <v>0</v>
      </c>
      <c r="H14" s="80">
        <f>0.1*E14</f>
        <v>0</v>
      </c>
      <c r="I14" s="76" t="s">
        <v>174</v>
      </c>
      <c r="J14" s="77">
        <v>0</v>
      </c>
      <c r="K14" s="81">
        <v>0</v>
      </c>
      <c r="L14" s="82">
        <v>0</v>
      </c>
      <c r="M14" s="76" t="s">
        <v>174</v>
      </c>
      <c r="N14" s="80">
        <v>0</v>
      </c>
      <c r="O14" s="76" t="s">
        <v>174</v>
      </c>
      <c r="P14" s="77">
        <v>0</v>
      </c>
      <c r="Q14" s="83">
        <v>0</v>
      </c>
      <c r="R14" s="79">
        <v>0</v>
      </c>
      <c r="S14" s="80">
        <v>0</v>
      </c>
      <c r="T14" s="76" t="s">
        <v>174</v>
      </c>
      <c r="U14" s="84">
        <v>0</v>
      </c>
      <c r="V14" s="79">
        <v>0</v>
      </c>
      <c r="W14" s="80">
        <f t="shared" si="2"/>
        <v>0</v>
      </c>
      <c r="X14" s="85" t="s">
        <v>174</v>
      </c>
      <c r="Y14" s="82">
        <v>0</v>
      </c>
      <c r="Z14" s="86">
        <f t="shared" si="3"/>
        <v>0</v>
      </c>
      <c r="AA14" s="129">
        <f t="shared" si="4"/>
        <v>0</v>
      </c>
      <c r="AB14" s="259"/>
    </row>
    <row r="15" spans="1:29" x14ac:dyDescent="0.35">
      <c r="A15" s="20" t="s">
        <v>14</v>
      </c>
      <c r="B15" s="74">
        <v>870</v>
      </c>
      <c r="C15" s="75">
        <v>1</v>
      </c>
      <c r="D15" s="76" t="s">
        <v>175</v>
      </c>
      <c r="E15" s="77">
        <v>1</v>
      </c>
      <c r="F15" s="78">
        <f t="shared" si="0"/>
        <v>100</v>
      </c>
      <c r="G15" s="79">
        <v>1</v>
      </c>
      <c r="H15" s="80">
        <v>1</v>
      </c>
      <c r="I15" s="76" t="s">
        <v>174</v>
      </c>
      <c r="J15" s="77">
        <v>0</v>
      </c>
      <c r="K15" s="81">
        <v>0</v>
      </c>
      <c r="L15" s="82">
        <v>0</v>
      </c>
      <c r="M15" s="76" t="s">
        <v>174</v>
      </c>
      <c r="N15" s="80">
        <v>0</v>
      </c>
      <c r="O15" s="76" t="s">
        <v>174</v>
      </c>
      <c r="P15" s="77">
        <v>0</v>
      </c>
      <c r="Q15" s="83">
        <v>0</v>
      </c>
      <c r="R15" s="79">
        <v>0</v>
      </c>
      <c r="S15" s="80">
        <v>0</v>
      </c>
      <c r="T15" s="76" t="s">
        <v>174</v>
      </c>
      <c r="U15" s="84">
        <v>0</v>
      </c>
      <c r="V15" s="79">
        <v>0</v>
      </c>
      <c r="W15" s="80">
        <f t="shared" si="2"/>
        <v>0</v>
      </c>
      <c r="X15" s="85" t="s">
        <v>174</v>
      </c>
      <c r="Y15" s="82">
        <v>0</v>
      </c>
      <c r="Z15" s="86">
        <f t="shared" si="3"/>
        <v>2</v>
      </c>
      <c r="AA15" s="129">
        <f t="shared" si="4"/>
        <v>20</v>
      </c>
      <c r="AB15" s="88"/>
    </row>
    <row r="16" spans="1:29" x14ac:dyDescent="0.35">
      <c r="A16" s="20" t="s">
        <v>15</v>
      </c>
      <c r="B16" s="74">
        <v>1570</v>
      </c>
      <c r="C16" s="75">
        <v>2</v>
      </c>
      <c r="D16" s="76" t="s">
        <v>174</v>
      </c>
      <c r="E16" s="77">
        <v>0</v>
      </c>
      <c r="F16" s="78">
        <f t="shared" si="0"/>
        <v>0</v>
      </c>
      <c r="G16" s="79">
        <v>0</v>
      </c>
      <c r="H16" s="80">
        <f>0.1*E16</f>
        <v>0</v>
      </c>
      <c r="I16" s="76" t="s">
        <v>174</v>
      </c>
      <c r="J16" s="77">
        <v>0</v>
      </c>
      <c r="K16" s="81">
        <v>0</v>
      </c>
      <c r="L16" s="82">
        <v>0</v>
      </c>
      <c r="M16" s="76" t="s">
        <v>174</v>
      </c>
      <c r="N16" s="80">
        <v>0</v>
      </c>
      <c r="O16" s="76" t="s">
        <v>175</v>
      </c>
      <c r="P16" s="77">
        <v>2</v>
      </c>
      <c r="Q16" s="83">
        <f>2/7*100</f>
        <v>28.571428571428569</v>
      </c>
      <c r="R16" s="79">
        <v>1</v>
      </c>
      <c r="S16" s="80">
        <v>0.2</v>
      </c>
      <c r="T16" s="76" t="s">
        <v>174</v>
      </c>
      <c r="U16" s="84">
        <v>0</v>
      </c>
      <c r="V16" s="79">
        <v>0</v>
      </c>
      <c r="W16" s="80">
        <f t="shared" si="2"/>
        <v>0</v>
      </c>
      <c r="X16" s="85" t="s">
        <v>174</v>
      </c>
      <c r="Y16" s="82">
        <v>0</v>
      </c>
      <c r="Z16" s="86">
        <f t="shared" si="3"/>
        <v>1.2</v>
      </c>
      <c r="AA16" s="129">
        <f t="shared" si="4"/>
        <v>12</v>
      </c>
      <c r="AB16" s="88"/>
    </row>
    <row r="17" spans="1:28" x14ac:dyDescent="0.35">
      <c r="A17" s="20" t="s">
        <v>16</v>
      </c>
      <c r="B17" s="74">
        <v>10070</v>
      </c>
      <c r="C17" s="75">
        <v>14</v>
      </c>
      <c r="D17" s="76" t="s">
        <v>174</v>
      </c>
      <c r="E17" s="77">
        <v>0</v>
      </c>
      <c r="F17" s="78">
        <f t="shared" si="0"/>
        <v>0</v>
      </c>
      <c r="G17" s="79">
        <v>0</v>
      </c>
      <c r="H17" s="80">
        <f>0.1*E17</f>
        <v>0</v>
      </c>
      <c r="I17" s="76" t="s">
        <v>174</v>
      </c>
      <c r="J17" s="77">
        <v>0</v>
      </c>
      <c r="K17" s="81">
        <v>0</v>
      </c>
      <c r="L17" s="82">
        <v>0</v>
      </c>
      <c r="M17" s="76" t="s">
        <v>174</v>
      </c>
      <c r="N17" s="80">
        <v>0</v>
      </c>
      <c r="O17" s="76" t="s">
        <v>175</v>
      </c>
      <c r="P17" s="77">
        <v>3</v>
      </c>
      <c r="Q17" s="83">
        <f>3/14*100</f>
        <v>21.428571428571427</v>
      </c>
      <c r="R17" s="79">
        <v>1</v>
      </c>
      <c r="S17" s="80">
        <v>0.2</v>
      </c>
      <c r="T17" s="76" t="s">
        <v>174</v>
      </c>
      <c r="U17" s="84">
        <v>0</v>
      </c>
      <c r="V17" s="79">
        <v>0</v>
      </c>
      <c r="W17" s="80">
        <f t="shared" si="2"/>
        <v>0</v>
      </c>
      <c r="X17" s="85" t="s">
        <v>174</v>
      </c>
      <c r="Y17" s="82">
        <v>0</v>
      </c>
      <c r="Z17" s="86">
        <f t="shared" si="3"/>
        <v>1.2</v>
      </c>
      <c r="AA17" s="129">
        <f t="shared" si="4"/>
        <v>12</v>
      </c>
      <c r="AB17" s="88"/>
    </row>
    <row r="18" spans="1:28" x14ac:dyDescent="0.35">
      <c r="A18" s="20" t="s">
        <v>17</v>
      </c>
      <c r="B18" s="74">
        <v>12570</v>
      </c>
      <c r="C18" s="75">
        <v>18</v>
      </c>
      <c r="D18" s="76" t="s">
        <v>175</v>
      </c>
      <c r="E18" s="77">
        <v>7</v>
      </c>
      <c r="F18" s="78">
        <f t="shared" si="0"/>
        <v>38.888888888888893</v>
      </c>
      <c r="G18" s="79">
        <v>1</v>
      </c>
      <c r="H18" s="80">
        <v>0.3</v>
      </c>
      <c r="I18" s="76" t="s">
        <v>175</v>
      </c>
      <c r="J18" s="77">
        <v>5</v>
      </c>
      <c r="K18" s="81">
        <v>1</v>
      </c>
      <c r="L18" s="82">
        <f>0.1*J18</f>
        <v>0.5</v>
      </c>
      <c r="M18" s="76" t="s">
        <v>175</v>
      </c>
      <c r="N18" s="80">
        <v>1</v>
      </c>
      <c r="O18" s="76" t="s">
        <v>175</v>
      </c>
      <c r="P18" s="77">
        <v>11</v>
      </c>
      <c r="Q18" s="83">
        <f>11/17*100</f>
        <v>64.705882352941174</v>
      </c>
      <c r="R18" s="79">
        <v>1</v>
      </c>
      <c r="S18" s="80">
        <v>0.6</v>
      </c>
      <c r="T18" s="76" t="s">
        <v>175</v>
      </c>
      <c r="U18" s="84">
        <v>4</v>
      </c>
      <c r="V18" s="79">
        <v>1</v>
      </c>
      <c r="W18" s="80">
        <f t="shared" si="2"/>
        <v>0.4</v>
      </c>
      <c r="X18" s="85" t="s">
        <v>175</v>
      </c>
      <c r="Y18" s="82">
        <v>1</v>
      </c>
      <c r="Z18" s="86">
        <f t="shared" si="3"/>
        <v>7.8</v>
      </c>
      <c r="AA18" s="129">
        <f t="shared" si="4"/>
        <v>78</v>
      </c>
      <c r="AB18" s="256"/>
    </row>
    <row r="19" spans="1:28" x14ac:dyDescent="0.35">
      <c r="A19" s="20" t="s">
        <v>18</v>
      </c>
      <c r="B19" s="89" t="s">
        <v>50</v>
      </c>
      <c r="C19" s="75">
        <v>1</v>
      </c>
      <c r="D19" s="76" t="s">
        <v>174</v>
      </c>
      <c r="E19" s="77">
        <v>0</v>
      </c>
      <c r="F19" s="78">
        <f t="shared" si="0"/>
        <v>0</v>
      </c>
      <c r="G19" s="79">
        <v>0</v>
      </c>
      <c r="H19" s="80">
        <f>0.1*E19</f>
        <v>0</v>
      </c>
      <c r="I19" s="76" t="s">
        <v>174</v>
      </c>
      <c r="J19" s="77">
        <v>0</v>
      </c>
      <c r="K19" s="81">
        <v>0</v>
      </c>
      <c r="L19" s="82">
        <v>0</v>
      </c>
      <c r="M19" s="76" t="s">
        <v>174</v>
      </c>
      <c r="N19" s="80">
        <v>0</v>
      </c>
      <c r="O19" s="76" t="s">
        <v>175</v>
      </c>
      <c r="P19" s="77">
        <v>1</v>
      </c>
      <c r="Q19" s="83">
        <f>1/6*100</f>
        <v>16.666666666666664</v>
      </c>
      <c r="R19" s="79">
        <v>1</v>
      </c>
      <c r="S19" s="80">
        <v>0.1</v>
      </c>
      <c r="T19" s="76" t="s">
        <v>174</v>
      </c>
      <c r="U19" s="84">
        <v>0</v>
      </c>
      <c r="V19" s="79">
        <v>0</v>
      </c>
      <c r="W19" s="80">
        <f t="shared" si="2"/>
        <v>0</v>
      </c>
      <c r="X19" s="85" t="s">
        <v>174</v>
      </c>
      <c r="Y19" s="82">
        <v>0</v>
      </c>
      <c r="Z19" s="86">
        <f t="shared" si="3"/>
        <v>1.1000000000000001</v>
      </c>
      <c r="AA19" s="129">
        <f t="shared" si="4"/>
        <v>11.000000000000002</v>
      </c>
      <c r="AB19" s="88"/>
    </row>
    <row r="20" spans="1:28" x14ac:dyDescent="0.35">
      <c r="A20" s="20" t="s">
        <v>19</v>
      </c>
      <c r="B20" s="74">
        <v>560</v>
      </c>
      <c r="C20" s="75">
        <v>1</v>
      </c>
      <c r="D20" s="76" t="s">
        <v>174</v>
      </c>
      <c r="E20" s="77">
        <v>0</v>
      </c>
      <c r="F20" s="78">
        <f t="shared" si="0"/>
        <v>0</v>
      </c>
      <c r="G20" s="79">
        <v>0</v>
      </c>
      <c r="H20" s="80">
        <f>0.1*E20</f>
        <v>0</v>
      </c>
      <c r="I20" s="76" t="s">
        <v>174</v>
      </c>
      <c r="J20" s="77">
        <v>0</v>
      </c>
      <c r="K20" s="81">
        <v>0</v>
      </c>
      <c r="L20" s="82">
        <v>0</v>
      </c>
      <c r="M20" s="76" t="s">
        <v>174</v>
      </c>
      <c r="N20" s="80">
        <v>0</v>
      </c>
      <c r="O20" s="76" t="s">
        <v>175</v>
      </c>
      <c r="P20" s="77">
        <v>1</v>
      </c>
      <c r="Q20" s="83">
        <f>1/4*100</f>
        <v>25</v>
      </c>
      <c r="R20" s="79">
        <v>1</v>
      </c>
      <c r="S20" s="80">
        <v>0.2</v>
      </c>
      <c r="T20" s="76" t="s">
        <v>174</v>
      </c>
      <c r="U20" s="84">
        <v>0</v>
      </c>
      <c r="V20" s="79">
        <v>0</v>
      </c>
      <c r="W20" s="80">
        <f t="shared" si="2"/>
        <v>0</v>
      </c>
      <c r="X20" s="85" t="s">
        <v>174</v>
      </c>
      <c r="Y20" s="82">
        <v>0</v>
      </c>
      <c r="Z20" s="86">
        <f t="shared" si="3"/>
        <v>1.2</v>
      </c>
      <c r="AA20" s="129">
        <f t="shared" si="4"/>
        <v>12</v>
      </c>
      <c r="AB20" s="88"/>
    </row>
    <row r="21" spans="1:28" x14ac:dyDescent="0.35">
      <c r="A21" s="20" t="s">
        <v>20</v>
      </c>
      <c r="B21" s="74">
        <v>4550</v>
      </c>
      <c r="C21" s="75">
        <v>5</v>
      </c>
      <c r="D21" s="76" t="s">
        <v>175</v>
      </c>
      <c r="E21" s="77">
        <v>2</v>
      </c>
      <c r="F21" s="78">
        <f t="shared" si="0"/>
        <v>40</v>
      </c>
      <c r="G21" s="79">
        <v>1</v>
      </c>
      <c r="H21" s="80">
        <v>0.4</v>
      </c>
      <c r="I21" s="76" t="s">
        <v>174</v>
      </c>
      <c r="J21" s="77">
        <v>0</v>
      </c>
      <c r="K21" s="81">
        <v>0</v>
      </c>
      <c r="L21" s="82">
        <v>0</v>
      </c>
      <c r="M21" s="76" t="s">
        <v>174</v>
      </c>
      <c r="N21" s="80">
        <v>0</v>
      </c>
      <c r="O21" s="76" t="s">
        <v>175</v>
      </c>
      <c r="P21" s="77">
        <v>3</v>
      </c>
      <c r="Q21" s="83">
        <f>3/5*100</f>
        <v>60</v>
      </c>
      <c r="R21" s="79">
        <v>1</v>
      </c>
      <c r="S21" s="80">
        <v>0.6</v>
      </c>
      <c r="T21" s="76" t="s">
        <v>174</v>
      </c>
      <c r="U21" s="84">
        <v>0</v>
      </c>
      <c r="V21" s="79">
        <v>0</v>
      </c>
      <c r="W21" s="80">
        <f t="shared" si="2"/>
        <v>0</v>
      </c>
      <c r="X21" s="85" t="s">
        <v>175</v>
      </c>
      <c r="Y21" s="82">
        <v>1</v>
      </c>
      <c r="Z21" s="86">
        <f t="shared" si="3"/>
        <v>4</v>
      </c>
      <c r="AA21" s="129">
        <f t="shared" si="4"/>
        <v>40</v>
      </c>
      <c r="AB21" s="90"/>
    </row>
    <row r="22" spans="1:28" x14ac:dyDescent="0.35">
      <c r="A22" s="20" t="s">
        <v>21</v>
      </c>
      <c r="B22" s="74">
        <v>2690</v>
      </c>
      <c r="C22" s="75">
        <v>3</v>
      </c>
      <c r="D22" s="76" t="s">
        <v>174</v>
      </c>
      <c r="E22" s="77">
        <v>0</v>
      </c>
      <c r="F22" s="78">
        <f t="shared" si="0"/>
        <v>0</v>
      </c>
      <c r="G22" s="79">
        <v>0</v>
      </c>
      <c r="H22" s="80">
        <f>0.1*E22</f>
        <v>0</v>
      </c>
      <c r="I22" s="76" t="s">
        <v>174</v>
      </c>
      <c r="J22" s="77">
        <v>0</v>
      </c>
      <c r="K22" s="81">
        <v>0</v>
      </c>
      <c r="L22" s="82">
        <v>0</v>
      </c>
      <c r="M22" s="76" t="s">
        <v>174</v>
      </c>
      <c r="N22" s="80">
        <v>0</v>
      </c>
      <c r="O22" s="76" t="s">
        <v>174</v>
      </c>
      <c r="P22" s="77">
        <v>0</v>
      </c>
      <c r="Q22" s="83">
        <v>0</v>
      </c>
      <c r="R22" s="79">
        <v>0</v>
      </c>
      <c r="S22" s="80">
        <v>0</v>
      </c>
      <c r="T22" s="76" t="s">
        <v>174</v>
      </c>
      <c r="U22" s="84">
        <v>0</v>
      </c>
      <c r="V22" s="79">
        <v>0</v>
      </c>
      <c r="W22" s="80">
        <f t="shared" si="2"/>
        <v>0</v>
      </c>
      <c r="X22" s="85" t="s">
        <v>174</v>
      </c>
      <c r="Y22" s="82">
        <v>0</v>
      </c>
      <c r="Z22" s="86">
        <f t="shared" si="3"/>
        <v>0</v>
      </c>
      <c r="AA22" s="129">
        <f t="shared" si="4"/>
        <v>0</v>
      </c>
      <c r="AB22" s="88"/>
    </row>
    <row r="23" spans="1:28" x14ac:dyDescent="0.35">
      <c r="A23" s="20" t="s">
        <v>22</v>
      </c>
      <c r="B23" s="74">
        <v>2300</v>
      </c>
      <c r="C23" s="75">
        <v>3</v>
      </c>
      <c r="D23" s="76" t="s">
        <v>174</v>
      </c>
      <c r="E23" s="77">
        <v>0</v>
      </c>
      <c r="F23" s="78">
        <f t="shared" si="0"/>
        <v>0</v>
      </c>
      <c r="G23" s="79">
        <v>0</v>
      </c>
      <c r="H23" s="80">
        <f>0.1*E23</f>
        <v>0</v>
      </c>
      <c r="I23" s="76" t="s">
        <v>174</v>
      </c>
      <c r="J23" s="77">
        <v>0</v>
      </c>
      <c r="K23" s="81">
        <v>0</v>
      </c>
      <c r="L23" s="82">
        <v>0</v>
      </c>
      <c r="M23" s="76" t="s">
        <v>174</v>
      </c>
      <c r="N23" s="80">
        <v>0</v>
      </c>
      <c r="O23" s="76" t="s">
        <v>175</v>
      </c>
      <c r="P23" s="77">
        <v>1</v>
      </c>
      <c r="Q23" s="83">
        <f>1/7*100</f>
        <v>14.285714285714285</v>
      </c>
      <c r="R23" s="79">
        <v>1</v>
      </c>
      <c r="S23" s="80">
        <v>0.1</v>
      </c>
      <c r="T23" s="76" t="s">
        <v>174</v>
      </c>
      <c r="U23" s="84">
        <v>0</v>
      </c>
      <c r="V23" s="79">
        <v>0</v>
      </c>
      <c r="W23" s="80">
        <f t="shared" si="2"/>
        <v>0</v>
      </c>
      <c r="X23" s="85" t="s">
        <v>174</v>
      </c>
      <c r="Y23" s="82">
        <v>0</v>
      </c>
      <c r="Z23" s="86">
        <f t="shared" si="3"/>
        <v>1.1000000000000001</v>
      </c>
      <c r="AA23" s="129">
        <f t="shared" si="4"/>
        <v>11.000000000000002</v>
      </c>
      <c r="AB23" s="88"/>
    </row>
    <row r="24" spans="1:28" x14ac:dyDescent="0.35">
      <c r="A24" s="20" t="s">
        <v>23</v>
      </c>
      <c r="B24" s="74">
        <v>14660</v>
      </c>
      <c r="C24" s="75">
        <v>19</v>
      </c>
      <c r="D24" s="76" t="s">
        <v>175</v>
      </c>
      <c r="E24" s="77">
        <v>2</v>
      </c>
      <c r="F24" s="78">
        <f t="shared" si="0"/>
        <v>10.526315789473683</v>
      </c>
      <c r="G24" s="79">
        <v>1</v>
      </c>
      <c r="H24" s="80">
        <v>0.1</v>
      </c>
      <c r="I24" s="76" t="s">
        <v>174</v>
      </c>
      <c r="J24" s="77">
        <v>0</v>
      </c>
      <c r="K24" s="81">
        <v>0</v>
      </c>
      <c r="L24" s="82">
        <v>0</v>
      </c>
      <c r="M24" s="76" t="s">
        <v>174</v>
      </c>
      <c r="N24" s="80">
        <v>0</v>
      </c>
      <c r="O24" s="76" t="s">
        <v>175</v>
      </c>
      <c r="P24" s="77">
        <v>5</v>
      </c>
      <c r="Q24" s="83">
        <f>5/15*100</f>
        <v>33.333333333333329</v>
      </c>
      <c r="R24" s="79">
        <v>1</v>
      </c>
      <c r="S24" s="80">
        <v>0.3</v>
      </c>
      <c r="T24" s="76" t="s">
        <v>174</v>
      </c>
      <c r="U24" s="84">
        <v>0</v>
      </c>
      <c r="V24" s="79">
        <v>0</v>
      </c>
      <c r="W24" s="80">
        <f t="shared" si="2"/>
        <v>0</v>
      </c>
      <c r="X24" s="85" t="s">
        <v>174</v>
      </c>
      <c r="Y24" s="82">
        <v>0</v>
      </c>
      <c r="Z24" s="86">
        <f t="shared" si="3"/>
        <v>2.4</v>
      </c>
      <c r="AA24" s="129">
        <f t="shared" si="4"/>
        <v>24</v>
      </c>
      <c r="AB24" s="88"/>
    </row>
    <row r="25" spans="1:28" x14ac:dyDescent="0.35">
      <c r="A25" s="20" t="s">
        <v>24</v>
      </c>
      <c r="B25" s="74">
        <v>3890</v>
      </c>
      <c r="C25" s="75">
        <v>5</v>
      </c>
      <c r="D25" s="76" t="s">
        <v>174</v>
      </c>
      <c r="E25" s="77">
        <v>0</v>
      </c>
      <c r="F25" s="78">
        <f t="shared" si="0"/>
        <v>0</v>
      </c>
      <c r="G25" s="79">
        <v>0</v>
      </c>
      <c r="H25" s="80">
        <f>0.1*E25</f>
        <v>0</v>
      </c>
      <c r="I25" s="76" t="s">
        <v>174</v>
      </c>
      <c r="J25" s="77">
        <v>0</v>
      </c>
      <c r="K25" s="81">
        <v>0</v>
      </c>
      <c r="L25" s="82">
        <v>0</v>
      </c>
      <c r="M25" s="76" t="s">
        <v>174</v>
      </c>
      <c r="N25" s="80">
        <v>0</v>
      </c>
      <c r="O25" s="76" t="s">
        <v>175</v>
      </c>
      <c r="P25" s="77">
        <v>2</v>
      </c>
      <c r="Q25" s="83">
        <f>2/5*100</f>
        <v>40</v>
      </c>
      <c r="R25" s="79">
        <v>1</v>
      </c>
      <c r="S25" s="80">
        <v>0.4</v>
      </c>
      <c r="T25" s="76" t="s">
        <v>174</v>
      </c>
      <c r="U25" s="84">
        <v>0</v>
      </c>
      <c r="V25" s="79">
        <v>0</v>
      </c>
      <c r="W25" s="80">
        <f t="shared" si="2"/>
        <v>0</v>
      </c>
      <c r="X25" s="85" t="s">
        <v>174</v>
      </c>
      <c r="Y25" s="82">
        <v>0</v>
      </c>
      <c r="Z25" s="86">
        <f t="shared" si="3"/>
        <v>1.4</v>
      </c>
      <c r="AA25" s="129">
        <f t="shared" si="4"/>
        <v>13.999999999999998</v>
      </c>
      <c r="AB25" s="88"/>
    </row>
    <row r="26" spans="1:28" x14ac:dyDescent="0.35">
      <c r="A26" s="20" t="s">
        <v>25</v>
      </c>
      <c r="B26" s="74">
        <v>4700</v>
      </c>
      <c r="C26" s="75">
        <v>9</v>
      </c>
      <c r="D26" s="76" t="s">
        <v>174</v>
      </c>
      <c r="E26" s="77">
        <v>0</v>
      </c>
      <c r="F26" s="78">
        <f t="shared" si="0"/>
        <v>0</v>
      </c>
      <c r="G26" s="79">
        <v>0</v>
      </c>
      <c r="H26" s="80">
        <f>0.1*E26</f>
        <v>0</v>
      </c>
      <c r="I26" s="76" t="s">
        <v>174</v>
      </c>
      <c r="J26" s="77">
        <v>0</v>
      </c>
      <c r="K26" s="81">
        <v>0</v>
      </c>
      <c r="L26" s="82">
        <v>0</v>
      </c>
      <c r="M26" s="76" t="s">
        <v>174</v>
      </c>
      <c r="N26" s="80">
        <v>0</v>
      </c>
      <c r="O26" s="76" t="s">
        <v>174</v>
      </c>
      <c r="P26" s="77">
        <v>0</v>
      </c>
      <c r="Q26" s="83">
        <v>0</v>
      </c>
      <c r="R26" s="79">
        <v>0</v>
      </c>
      <c r="S26" s="80">
        <v>0</v>
      </c>
      <c r="T26" s="76" t="s">
        <v>174</v>
      </c>
      <c r="U26" s="84">
        <v>0</v>
      </c>
      <c r="V26" s="79">
        <v>0</v>
      </c>
      <c r="W26" s="80">
        <f t="shared" si="2"/>
        <v>0</v>
      </c>
      <c r="X26" s="85" t="s">
        <v>174</v>
      </c>
      <c r="Y26" s="82">
        <v>0</v>
      </c>
      <c r="Z26" s="86">
        <f t="shared" si="3"/>
        <v>0</v>
      </c>
      <c r="AA26" s="129">
        <f t="shared" si="4"/>
        <v>0</v>
      </c>
      <c r="AB26" s="88"/>
    </row>
    <row r="27" spans="1:28" x14ac:dyDescent="0.35">
      <c r="A27" s="20" t="s">
        <v>26</v>
      </c>
      <c r="B27" s="74">
        <v>3140</v>
      </c>
      <c r="C27" s="75">
        <v>4</v>
      </c>
      <c r="D27" s="76" t="s">
        <v>174</v>
      </c>
      <c r="E27" s="77">
        <v>0</v>
      </c>
      <c r="F27" s="78">
        <f t="shared" si="0"/>
        <v>0</v>
      </c>
      <c r="G27" s="79">
        <v>0</v>
      </c>
      <c r="H27" s="80">
        <f>0.1*E27</f>
        <v>0</v>
      </c>
      <c r="I27" s="76" t="s">
        <v>174</v>
      </c>
      <c r="J27" s="77">
        <v>0</v>
      </c>
      <c r="K27" s="81">
        <v>0</v>
      </c>
      <c r="L27" s="82">
        <v>0</v>
      </c>
      <c r="M27" s="76" t="s">
        <v>174</v>
      </c>
      <c r="N27" s="80">
        <v>0</v>
      </c>
      <c r="O27" s="76" t="s">
        <v>175</v>
      </c>
      <c r="P27" s="77">
        <v>1</v>
      </c>
      <c r="Q27" s="83">
        <f>1/5*100</f>
        <v>20</v>
      </c>
      <c r="R27" s="79">
        <v>1</v>
      </c>
      <c r="S27" s="80">
        <v>0.2</v>
      </c>
      <c r="T27" s="76" t="s">
        <v>174</v>
      </c>
      <c r="U27" s="84">
        <v>0</v>
      </c>
      <c r="V27" s="79">
        <v>0</v>
      </c>
      <c r="W27" s="80">
        <f t="shared" si="2"/>
        <v>0</v>
      </c>
      <c r="X27" s="85" t="s">
        <v>174</v>
      </c>
      <c r="Y27" s="82">
        <v>0</v>
      </c>
      <c r="Z27" s="86">
        <f t="shared" si="3"/>
        <v>1.2</v>
      </c>
      <c r="AA27" s="129">
        <f t="shared" si="4"/>
        <v>12</v>
      </c>
      <c r="AB27" s="88"/>
    </row>
    <row r="28" spans="1:28" x14ac:dyDescent="0.35">
      <c r="A28" s="20" t="s">
        <v>27</v>
      </c>
      <c r="B28" s="74">
        <v>1030</v>
      </c>
      <c r="C28" s="75">
        <v>2</v>
      </c>
      <c r="D28" s="76" t="s">
        <v>175</v>
      </c>
      <c r="E28" s="77">
        <v>1</v>
      </c>
      <c r="F28" s="78">
        <f t="shared" si="0"/>
        <v>50</v>
      </c>
      <c r="G28" s="79">
        <v>1</v>
      </c>
      <c r="H28" s="80">
        <v>0.5</v>
      </c>
      <c r="I28" s="76" t="s">
        <v>174</v>
      </c>
      <c r="J28" s="77">
        <v>0</v>
      </c>
      <c r="K28" s="81">
        <v>0</v>
      </c>
      <c r="L28" s="82">
        <v>0</v>
      </c>
      <c r="M28" s="76" t="s">
        <v>174</v>
      </c>
      <c r="N28" s="80">
        <v>0</v>
      </c>
      <c r="O28" s="76" t="s">
        <v>175</v>
      </c>
      <c r="P28" s="77">
        <v>1</v>
      </c>
      <c r="Q28" s="83">
        <f>1/8*100</f>
        <v>12.5</v>
      </c>
      <c r="R28" s="79">
        <v>1</v>
      </c>
      <c r="S28" s="80">
        <v>0.1</v>
      </c>
      <c r="T28" s="76" t="s">
        <v>174</v>
      </c>
      <c r="U28" s="84">
        <v>0</v>
      </c>
      <c r="V28" s="79">
        <v>0</v>
      </c>
      <c r="W28" s="80">
        <f t="shared" si="2"/>
        <v>0</v>
      </c>
      <c r="X28" s="85" t="s">
        <v>174</v>
      </c>
      <c r="Y28" s="82">
        <v>0</v>
      </c>
      <c r="Z28" s="86">
        <f t="shared" si="3"/>
        <v>2.6</v>
      </c>
      <c r="AA28" s="129">
        <f t="shared" si="4"/>
        <v>26</v>
      </c>
      <c r="AB28" s="90"/>
    </row>
    <row r="29" spans="1:28" x14ac:dyDescent="0.35">
      <c r="A29" s="20" t="s">
        <v>28</v>
      </c>
      <c r="B29" s="74">
        <v>3830</v>
      </c>
      <c r="C29" s="75">
        <v>5</v>
      </c>
      <c r="D29" s="76" t="s">
        <v>174</v>
      </c>
      <c r="E29" s="77">
        <v>0</v>
      </c>
      <c r="F29" s="78">
        <f t="shared" si="0"/>
        <v>0</v>
      </c>
      <c r="G29" s="79">
        <v>0</v>
      </c>
      <c r="H29" s="80">
        <f>0.1*E29</f>
        <v>0</v>
      </c>
      <c r="I29" s="76" t="s">
        <v>174</v>
      </c>
      <c r="J29" s="77">
        <v>0</v>
      </c>
      <c r="K29" s="81">
        <v>0</v>
      </c>
      <c r="L29" s="82">
        <v>0</v>
      </c>
      <c r="M29" s="76" t="s">
        <v>175</v>
      </c>
      <c r="N29" s="80">
        <v>1</v>
      </c>
      <c r="O29" s="76" t="s">
        <v>175</v>
      </c>
      <c r="P29" s="77">
        <v>5</v>
      </c>
      <c r="Q29" s="83">
        <f>5/5*100</f>
        <v>100</v>
      </c>
      <c r="R29" s="79">
        <v>1</v>
      </c>
      <c r="S29" s="80">
        <v>1</v>
      </c>
      <c r="T29" s="76" t="s">
        <v>174</v>
      </c>
      <c r="U29" s="84">
        <v>0</v>
      </c>
      <c r="V29" s="79">
        <v>0</v>
      </c>
      <c r="W29" s="80">
        <f t="shared" si="2"/>
        <v>0</v>
      </c>
      <c r="X29" s="85" t="s">
        <v>175</v>
      </c>
      <c r="Y29" s="82">
        <v>1</v>
      </c>
      <c r="Z29" s="86">
        <f t="shared" si="3"/>
        <v>4</v>
      </c>
      <c r="AA29" s="129">
        <f t="shared" si="4"/>
        <v>40</v>
      </c>
      <c r="AB29" s="90"/>
    </row>
    <row r="30" spans="1:28" x14ac:dyDescent="0.35">
      <c r="A30" s="20" t="s">
        <v>29</v>
      </c>
      <c r="B30" s="74">
        <v>530</v>
      </c>
      <c r="C30" s="75">
        <v>1</v>
      </c>
      <c r="D30" s="76" t="s">
        <v>174</v>
      </c>
      <c r="E30" s="77">
        <v>0</v>
      </c>
      <c r="F30" s="78">
        <f t="shared" si="0"/>
        <v>0</v>
      </c>
      <c r="G30" s="79">
        <v>0</v>
      </c>
      <c r="H30" s="80">
        <f>0.1*E30</f>
        <v>0</v>
      </c>
      <c r="I30" s="76" t="s">
        <v>174</v>
      </c>
      <c r="J30" s="77">
        <v>0</v>
      </c>
      <c r="K30" s="81">
        <v>0</v>
      </c>
      <c r="L30" s="82">
        <v>0</v>
      </c>
      <c r="M30" s="76" t="s">
        <v>174</v>
      </c>
      <c r="N30" s="80">
        <v>0</v>
      </c>
      <c r="O30" s="76" t="s">
        <v>174</v>
      </c>
      <c r="P30" s="77">
        <v>0</v>
      </c>
      <c r="Q30" s="83">
        <v>0</v>
      </c>
      <c r="R30" s="79">
        <v>0</v>
      </c>
      <c r="S30" s="80">
        <v>0</v>
      </c>
      <c r="T30" s="76" t="s">
        <v>174</v>
      </c>
      <c r="U30" s="84">
        <v>0</v>
      </c>
      <c r="V30" s="79">
        <v>0</v>
      </c>
      <c r="W30" s="80">
        <f t="shared" si="2"/>
        <v>0</v>
      </c>
      <c r="X30" s="85" t="s">
        <v>174</v>
      </c>
      <c r="Y30" s="82">
        <v>0</v>
      </c>
      <c r="Z30" s="86">
        <f t="shared" si="3"/>
        <v>0</v>
      </c>
      <c r="AA30" s="129">
        <f t="shared" si="4"/>
        <v>0</v>
      </c>
      <c r="AB30" s="88"/>
    </row>
    <row r="31" spans="1:28" x14ac:dyDescent="0.35">
      <c r="A31" s="20" t="s">
        <v>30</v>
      </c>
      <c r="B31" s="74">
        <v>2800</v>
      </c>
      <c r="C31" s="75">
        <v>4</v>
      </c>
      <c r="D31" s="76" t="s">
        <v>175</v>
      </c>
      <c r="E31" s="77">
        <v>1</v>
      </c>
      <c r="F31" s="78">
        <f t="shared" si="0"/>
        <v>25</v>
      </c>
      <c r="G31" s="79">
        <v>1</v>
      </c>
      <c r="H31" s="80">
        <v>0.2</v>
      </c>
      <c r="I31" s="76" t="s">
        <v>174</v>
      </c>
      <c r="J31" s="77">
        <v>0</v>
      </c>
      <c r="K31" s="81">
        <v>0</v>
      </c>
      <c r="L31" s="82">
        <v>0</v>
      </c>
      <c r="M31" s="76" t="s">
        <v>174</v>
      </c>
      <c r="N31" s="80">
        <v>0</v>
      </c>
      <c r="O31" s="76" t="s">
        <v>175</v>
      </c>
      <c r="P31" s="77">
        <v>2</v>
      </c>
      <c r="Q31" s="83">
        <f>2/4</f>
        <v>0.5</v>
      </c>
      <c r="R31" s="79">
        <v>1</v>
      </c>
      <c r="S31" s="80">
        <v>0.5</v>
      </c>
      <c r="T31" s="76" t="s">
        <v>174</v>
      </c>
      <c r="U31" s="84">
        <v>0</v>
      </c>
      <c r="V31" s="79">
        <v>0</v>
      </c>
      <c r="W31" s="80">
        <f t="shared" si="2"/>
        <v>0</v>
      </c>
      <c r="X31" s="85" t="s">
        <v>175</v>
      </c>
      <c r="Y31" s="82">
        <v>1</v>
      </c>
      <c r="Z31" s="86">
        <f t="shared" si="3"/>
        <v>3.7</v>
      </c>
      <c r="AA31" s="129">
        <f t="shared" si="4"/>
        <v>37</v>
      </c>
      <c r="AB31" s="90"/>
    </row>
    <row r="32" spans="1:28" x14ac:dyDescent="0.35">
      <c r="A32" s="20" t="s">
        <v>31</v>
      </c>
      <c r="B32" s="74">
        <v>620</v>
      </c>
      <c r="C32" s="75">
        <v>1</v>
      </c>
      <c r="D32" s="76" t="s">
        <v>174</v>
      </c>
      <c r="E32" s="77">
        <v>0</v>
      </c>
      <c r="F32" s="78">
        <f t="shared" si="0"/>
        <v>0</v>
      </c>
      <c r="G32" s="79">
        <v>0</v>
      </c>
      <c r="H32" s="80">
        <f t="shared" ref="H32:H37" si="5">0.1*E32</f>
        <v>0</v>
      </c>
      <c r="I32" s="76" t="s">
        <v>175</v>
      </c>
      <c r="J32" s="77">
        <v>0</v>
      </c>
      <c r="K32" s="81">
        <v>0</v>
      </c>
      <c r="L32" s="82">
        <v>0.1</v>
      </c>
      <c r="M32" s="76" t="s">
        <v>174</v>
      </c>
      <c r="N32" s="80">
        <v>0</v>
      </c>
      <c r="O32" s="76" t="s">
        <v>175</v>
      </c>
      <c r="P32" s="77">
        <v>2</v>
      </c>
      <c r="Q32" s="83">
        <f>2/7*100</f>
        <v>28.571428571428569</v>
      </c>
      <c r="R32" s="79">
        <v>1</v>
      </c>
      <c r="S32" s="80">
        <v>0.2</v>
      </c>
      <c r="T32" s="76" t="s">
        <v>174</v>
      </c>
      <c r="U32" s="84">
        <v>0</v>
      </c>
      <c r="V32" s="79">
        <v>0</v>
      </c>
      <c r="W32" s="80">
        <f t="shared" si="2"/>
        <v>0</v>
      </c>
      <c r="X32" s="85" t="s">
        <v>174</v>
      </c>
      <c r="Y32" s="82">
        <v>0</v>
      </c>
      <c r="Z32" s="86">
        <f t="shared" si="3"/>
        <v>1.3</v>
      </c>
      <c r="AA32" s="129">
        <f t="shared" si="4"/>
        <v>13</v>
      </c>
      <c r="AB32" s="88"/>
    </row>
    <row r="33" spans="1:28" x14ac:dyDescent="0.35">
      <c r="A33" s="20" t="s">
        <v>125</v>
      </c>
      <c r="B33" s="89" t="s">
        <v>50</v>
      </c>
      <c r="C33" s="75">
        <v>1</v>
      </c>
      <c r="D33" s="76" t="s">
        <v>174</v>
      </c>
      <c r="E33" s="77">
        <v>0</v>
      </c>
      <c r="F33" s="78">
        <f t="shared" si="0"/>
        <v>0</v>
      </c>
      <c r="G33" s="79">
        <v>0</v>
      </c>
      <c r="H33" s="80">
        <f t="shared" si="5"/>
        <v>0</v>
      </c>
      <c r="I33" s="76" t="s">
        <v>174</v>
      </c>
      <c r="J33" s="77">
        <v>0</v>
      </c>
      <c r="K33" s="81">
        <v>0</v>
      </c>
      <c r="L33" s="82">
        <v>0</v>
      </c>
      <c r="M33" s="76" t="s">
        <v>174</v>
      </c>
      <c r="N33" s="80">
        <v>0</v>
      </c>
      <c r="O33" s="76" t="s">
        <v>174</v>
      </c>
      <c r="P33" s="77">
        <v>0</v>
      </c>
      <c r="Q33" s="83">
        <v>0</v>
      </c>
      <c r="R33" s="79">
        <v>0</v>
      </c>
      <c r="S33" s="80">
        <v>0</v>
      </c>
      <c r="T33" s="76" t="s">
        <v>174</v>
      </c>
      <c r="U33" s="84">
        <v>0</v>
      </c>
      <c r="V33" s="79">
        <v>0</v>
      </c>
      <c r="W33" s="80">
        <f t="shared" si="2"/>
        <v>0</v>
      </c>
      <c r="X33" s="85" t="s">
        <v>174</v>
      </c>
      <c r="Y33" s="82">
        <v>0</v>
      </c>
      <c r="Z33" s="86">
        <f t="shared" si="3"/>
        <v>0</v>
      </c>
      <c r="AA33" s="129">
        <f t="shared" si="4"/>
        <v>0</v>
      </c>
      <c r="AB33" s="88"/>
    </row>
    <row r="34" spans="1:28" x14ac:dyDescent="0.35">
      <c r="A34" s="20" t="s">
        <v>32</v>
      </c>
      <c r="B34" s="74">
        <v>1100</v>
      </c>
      <c r="C34" s="91">
        <v>1</v>
      </c>
      <c r="D34" s="76" t="s">
        <v>174</v>
      </c>
      <c r="E34" s="77">
        <v>0</v>
      </c>
      <c r="F34" s="78">
        <f t="shared" si="0"/>
        <v>0</v>
      </c>
      <c r="G34" s="79">
        <v>0</v>
      </c>
      <c r="H34" s="80">
        <f t="shared" si="5"/>
        <v>0</v>
      </c>
      <c r="I34" s="76" t="s">
        <v>174</v>
      </c>
      <c r="J34" s="77">
        <v>0</v>
      </c>
      <c r="K34" s="81">
        <v>0</v>
      </c>
      <c r="L34" s="82">
        <v>0</v>
      </c>
      <c r="M34" s="76" t="s">
        <v>175</v>
      </c>
      <c r="N34" s="80">
        <v>1</v>
      </c>
      <c r="O34" s="76" t="s">
        <v>175</v>
      </c>
      <c r="P34" s="77">
        <v>1</v>
      </c>
      <c r="Q34" s="83">
        <f>1/4*100</f>
        <v>25</v>
      </c>
      <c r="R34" s="79">
        <v>1</v>
      </c>
      <c r="S34" s="80">
        <v>0.2</v>
      </c>
      <c r="T34" s="76" t="s">
        <v>174</v>
      </c>
      <c r="U34" s="84">
        <v>0</v>
      </c>
      <c r="V34" s="79">
        <v>0</v>
      </c>
      <c r="W34" s="80">
        <f t="shared" si="2"/>
        <v>0</v>
      </c>
      <c r="X34" s="85" t="s">
        <v>174</v>
      </c>
      <c r="Y34" s="82">
        <v>0</v>
      </c>
      <c r="Z34" s="86">
        <f t="shared" si="3"/>
        <v>2.2000000000000002</v>
      </c>
      <c r="AA34" s="129">
        <f t="shared" si="4"/>
        <v>22.000000000000004</v>
      </c>
      <c r="AB34" s="88"/>
    </row>
    <row r="35" spans="1:28" x14ac:dyDescent="0.35">
      <c r="A35" s="20" t="s">
        <v>33</v>
      </c>
      <c r="B35" s="74">
        <v>2530</v>
      </c>
      <c r="C35" s="75">
        <v>4</v>
      </c>
      <c r="D35" s="76" t="s">
        <v>174</v>
      </c>
      <c r="E35" s="77">
        <v>0</v>
      </c>
      <c r="F35" s="78">
        <f t="shared" si="0"/>
        <v>0</v>
      </c>
      <c r="G35" s="79">
        <v>0</v>
      </c>
      <c r="H35" s="80">
        <f t="shared" si="5"/>
        <v>0</v>
      </c>
      <c r="I35" s="76" t="s">
        <v>174</v>
      </c>
      <c r="J35" s="77">
        <v>0</v>
      </c>
      <c r="K35" s="81">
        <v>0</v>
      </c>
      <c r="L35" s="82">
        <v>0</v>
      </c>
      <c r="M35" s="76" t="s">
        <v>174</v>
      </c>
      <c r="N35" s="80">
        <v>0</v>
      </c>
      <c r="O35" s="76" t="s">
        <v>174</v>
      </c>
      <c r="P35" s="77">
        <v>0</v>
      </c>
      <c r="Q35" s="83">
        <v>0</v>
      </c>
      <c r="R35" s="79">
        <v>0</v>
      </c>
      <c r="S35" s="80">
        <v>0</v>
      </c>
      <c r="T35" s="76" t="s">
        <v>174</v>
      </c>
      <c r="U35" s="84">
        <v>0</v>
      </c>
      <c r="V35" s="79">
        <v>0</v>
      </c>
      <c r="W35" s="80">
        <f t="shared" si="2"/>
        <v>0</v>
      </c>
      <c r="X35" s="85" t="s">
        <v>174</v>
      </c>
      <c r="Y35" s="82">
        <v>0</v>
      </c>
      <c r="Z35" s="86">
        <f t="shared" si="3"/>
        <v>0</v>
      </c>
      <c r="AA35" s="129">
        <f t="shared" si="4"/>
        <v>0</v>
      </c>
      <c r="AB35" s="88"/>
    </row>
    <row r="36" spans="1:28" x14ac:dyDescent="0.35">
      <c r="A36" s="20" t="s">
        <v>34</v>
      </c>
      <c r="B36" s="74">
        <v>3010</v>
      </c>
      <c r="C36" s="75">
        <v>4</v>
      </c>
      <c r="D36" s="76" t="s">
        <v>174</v>
      </c>
      <c r="E36" s="77">
        <v>0</v>
      </c>
      <c r="F36" s="78">
        <f t="shared" si="0"/>
        <v>0</v>
      </c>
      <c r="G36" s="79">
        <v>0</v>
      </c>
      <c r="H36" s="80">
        <f t="shared" si="5"/>
        <v>0</v>
      </c>
      <c r="I36" s="76" t="s">
        <v>174</v>
      </c>
      <c r="J36" s="77">
        <v>0</v>
      </c>
      <c r="K36" s="81">
        <v>0</v>
      </c>
      <c r="L36" s="82">
        <v>0</v>
      </c>
      <c r="M36" s="76" t="s">
        <v>174</v>
      </c>
      <c r="N36" s="80">
        <v>0</v>
      </c>
      <c r="O36" s="76" t="s">
        <v>174</v>
      </c>
      <c r="P36" s="77">
        <v>0</v>
      </c>
      <c r="Q36" s="83">
        <v>0</v>
      </c>
      <c r="R36" s="79">
        <v>0</v>
      </c>
      <c r="S36" s="80">
        <v>0</v>
      </c>
      <c r="T36" s="76" t="s">
        <v>174</v>
      </c>
      <c r="U36" s="84">
        <v>0</v>
      </c>
      <c r="V36" s="79">
        <v>0</v>
      </c>
      <c r="W36" s="80">
        <f t="shared" si="2"/>
        <v>0</v>
      </c>
      <c r="X36" s="85" t="s">
        <v>174</v>
      </c>
      <c r="Y36" s="82">
        <v>0</v>
      </c>
      <c r="Z36" s="86">
        <f t="shared" si="3"/>
        <v>0</v>
      </c>
      <c r="AA36" s="129">
        <f t="shared" si="4"/>
        <v>0</v>
      </c>
      <c r="AB36" s="88"/>
    </row>
    <row r="37" spans="1:28" x14ac:dyDescent="0.35">
      <c r="A37" s="20" t="s">
        <v>35</v>
      </c>
      <c r="B37" s="74">
        <v>3120</v>
      </c>
      <c r="C37" s="75">
        <v>3</v>
      </c>
      <c r="D37" s="76" t="s">
        <v>174</v>
      </c>
      <c r="E37" s="77">
        <v>0</v>
      </c>
      <c r="F37" s="78">
        <f t="shared" si="0"/>
        <v>0</v>
      </c>
      <c r="G37" s="79">
        <v>0</v>
      </c>
      <c r="H37" s="80">
        <f t="shared" si="5"/>
        <v>0</v>
      </c>
      <c r="I37" s="76" t="s">
        <v>174</v>
      </c>
      <c r="J37" s="77">
        <v>0</v>
      </c>
      <c r="K37" s="81">
        <v>0</v>
      </c>
      <c r="L37" s="82">
        <v>0</v>
      </c>
      <c r="M37" s="76" t="s">
        <v>174</v>
      </c>
      <c r="N37" s="80">
        <v>0</v>
      </c>
      <c r="O37" s="76" t="s">
        <v>174</v>
      </c>
      <c r="P37" s="77">
        <v>0</v>
      </c>
      <c r="Q37" s="83">
        <v>0</v>
      </c>
      <c r="R37" s="79">
        <v>0</v>
      </c>
      <c r="S37" s="80">
        <v>0</v>
      </c>
      <c r="T37" s="76" t="s">
        <v>174</v>
      </c>
      <c r="U37" s="84">
        <v>0</v>
      </c>
      <c r="V37" s="79">
        <v>0</v>
      </c>
      <c r="W37" s="80">
        <f t="shared" si="2"/>
        <v>0</v>
      </c>
      <c r="X37" s="85" t="s">
        <v>174</v>
      </c>
      <c r="Y37" s="82">
        <v>0</v>
      </c>
      <c r="Z37" s="86">
        <f t="shared" si="3"/>
        <v>0</v>
      </c>
      <c r="AA37" s="129">
        <f t="shared" si="4"/>
        <v>0</v>
      </c>
      <c r="AB37" s="88"/>
    </row>
    <row r="38" spans="1:28" x14ac:dyDescent="0.35">
      <c r="A38" s="20" t="s">
        <v>36</v>
      </c>
      <c r="B38" s="74">
        <v>19060</v>
      </c>
      <c r="C38" s="75">
        <v>25</v>
      </c>
      <c r="D38" s="76" t="s">
        <v>175</v>
      </c>
      <c r="E38" s="77">
        <v>8</v>
      </c>
      <c r="F38" s="78">
        <f t="shared" si="0"/>
        <v>32</v>
      </c>
      <c r="G38" s="79">
        <v>1</v>
      </c>
      <c r="H38" s="80">
        <v>0.3</v>
      </c>
      <c r="I38" s="76" t="s">
        <v>175</v>
      </c>
      <c r="J38" s="77">
        <v>4</v>
      </c>
      <c r="K38" s="81">
        <v>1</v>
      </c>
      <c r="L38" s="82">
        <f>0.1*J38</f>
        <v>0.4</v>
      </c>
      <c r="M38" s="76" t="s">
        <v>175</v>
      </c>
      <c r="N38" s="80">
        <v>1</v>
      </c>
      <c r="O38" s="76" t="s">
        <v>175</v>
      </c>
      <c r="P38" s="77">
        <v>15</v>
      </c>
      <c r="Q38" s="83">
        <f>15/23*100</f>
        <v>65.217391304347828</v>
      </c>
      <c r="R38" s="79">
        <v>1</v>
      </c>
      <c r="S38" s="80">
        <v>0.6</v>
      </c>
      <c r="T38" s="76" t="s">
        <v>175</v>
      </c>
      <c r="U38" s="84">
        <v>5</v>
      </c>
      <c r="V38" s="79">
        <v>1</v>
      </c>
      <c r="W38" s="80">
        <f t="shared" si="2"/>
        <v>0.5</v>
      </c>
      <c r="X38" s="85" t="s">
        <v>174</v>
      </c>
      <c r="Y38" s="82">
        <v>0</v>
      </c>
      <c r="Z38" s="86">
        <f t="shared" si="3"/>
        <v>6.7999999999999989</v>
      </c>
      <c r="AA38" s="129">
        <f t="shared" si="4"/>
        <v>68</v>
      </c>
      <c r="AB38" s="204"/>
    </row>
    <row r="39" spans="1:28" x14ac:dyDescent="0.35">
      <c r="A39" s="20" t="s">
        <v>126</v>
      </c>
      <c r="B39" s="89" t="s">
        <v>50</v>
      </c>
      <c r="C39" s="75">
        <v>1</v>
      </c>
      <c r="D39" s="76" t="s">
        <v>175</v>
      </c>
      <c r="E39" s="77">
        <v>1</v>
      </c>
      <c r="F39" s="78">
        <f t="shared" si="0"/>
        <v>100</v>
      </c>
      <c r="G39" s="79">
        <v>1</v>
      </c>
      <c r="H39" s="80">
        <v>1</v>
      </c>
      <c r="I39" s="76" t="s">
        <v>174</v>
      </c>
      <c r="J39" s="77">
        <v>0</v>
      </c>
      <c r="K39" s="81">
        <v>0</v>
      </c>
      <c r="L39" s="82">
        <v>0</v>
      </c>
      <c r="M39" s="76" t="s">
        <v>174</v>
      </c>
      <c r="N39" s="80">
        <v>0</v>
      </c>
      <c r="O39" s="76" t="s">
        <v>174</v>
      </c>
      <c r="P39" s="77">
        <v>0</v>
      </c>
      <c r="Q39" s="83">
        <v>0</v>
      </c>
      <c r="R39" s="79">
        <v>0</v>
      </c>
      <c r="S39" s="80">
        <v>0</v>
      </c>
      <c r="T39" s="76" t="s">
        <v>174</v>
      </c>
      <c r="U39" s="84">
        <v>0</v>
      </c>
      <c r="V39" s="79">
        <v>0</v>
      </c>
      <c r="W39" s="80">
        <f t="shared" si="2"/>
        <v>0</v>
      </c>
      <c r="X39" s="85" t="s">
        <v>174</v>
      </c>
      <c r="Y39" s="82">
        <v>0</v>
      </c>
      <c r="Z39" s="86">
        <f t="shared" si="3"/>
        <v>2</v>
      </c>
      <c r="AA39" s="129">
        <f t="shared" si="4"/>
        <v>20</v>
      </c>
      <c r="AB39" s="88"/>
    </row>
    <row r="40" spans="1:28" x14ac:dyDescent="0.35">
      <c r="A40" s="20" t="s">
        <v>37</v>
      </c>
      <c r="B40" s="74">
        <v>8940</v>
      </c>
      <c r="C40" s="75">
        <v>9</v>
      </c>
      <c r="D40" s="76" t="s">
        <v>174</v>
      </c>
      <c r="E40" s="77">
        <v>0</v>
      </c>
      <c r="F40" s="78">
        <f t="shared" si="0"/>
        <v>0</v>
      </c>
      <c r="G40" s="79">
        <v>0</v>
      </c>
      <c r="H40" s="80">
        <f>0.1*E40</f>
        <v>0</v>
      </c>
      <c r="I40" s="76" t="s">
        <v>174</v>
      </c>
      <c r="J40" s="77">
        <v>0</v>
      </c>
      <c r="K40" s="81">
        <v>0</v>
      </c>
      <c r="L40" s="82">
        <v>0</v>
      </c>
      <c r="M40" s="76" t="s">
        <v>174</v>
      </c>
      <c r="N40" s="80">
        <v>0</v>
      </c>
      <c r="O40" s="76" t="s">
        <v>174</v>
      </c>
      <c r="P40" s="77">
        <v>0</v>
      </c>
      <c r="Q40" s="83">
        <v>0</v>
      </c>
      <c r="R40" s="79">
        <v>0</v>
      </c>
      <c r="S40" s="80">
        <v>0</v>
      </c>
      <c r="T40" s="76" t="s">
        <v>174</v>
      </c>
      <c r="U40" s="84">
        <v>0</v>
      </c>
      <c r="V40" s="79">
        <v>0</v>
      </c>
      <c r="W40" s="80">
        <f t="shared" si="2"/>
        <v>0</v>
      </c>
      <c r="X40" s="85" t="s">
        <v>174</v>
      </c>
      <c r="Y40" s="82">
        <v>0</v>
      </c>
      <c r="Z40" s="86">
        <f t="shared" si="3"/>
        <v>0</v>
      </c>
      <c r="AA40" s="129">
        <f t="shared" si="4"/>
        <v>0</v>
      </c>
      <c r="AB40" s="88"/>
    </row>
    <row r="41" spans="1:28" x14ac:dyDescent="0.35">
      <c r="A41" s="20" t="s">
        <v>38</v>
      </c>
      <c r="B41" s="74">
        <v>1690</v>
      </c>
      <c r="C41" s="75">
        <v>2</v>
      </c>
      <c r="D41" s="76" t="s">
        <v>174</v>
      </c>
      <c r="E41" s="77">
        <v>0</v>
      </c>
      <c r="F41" s="78">
        <f t="shared" si="0"/>
        <v>0</v>
      </c>
      <c r="G41" s="79">
        <v>0</v>
      </c>
      <c r="H41" s="80">
        <f>0.1*E41</f>
        <v>0</v>
      </c>
      <c r="I41" s="76" t="s">
        <v>174</v>
      </c>
      <c r="J41" s="77">
        <v>0</v>
      </c>
      <c r="K41" s="81">
        <v>0</v>
      </c>
      <c r="L41" s="82">
        <v>0</v>
      </c>
      <c r="M41" s="76" t="s">
        <v>174</v>
      </c>
      <c r="N41" s="80">
        <v>0</v>
      </c>
      <c r="O41" s="76" t="s">
        <v>175</v>
      </c>
      <c r="P41" s="77">
        <v>1</v>
      </c>
      <c r="Q41" s="83">
        <f>1/4*100</f>
        <v>25</v>
      </c>
      <c r="R41" s="79">
        <v>1</v>
      </c>
      <c r="S41" s="80">
        <v>0.2</v>
      </c>
      <c r="T41" s="76" t="s">
        <v>174</v>
      </c>
      <c r="U41" s="84">
        <v>0</v>
      </c>
      <c r="V41" s="79">
        <v>0</v>
      </c>
      <c r="W41" s="80">
        <f t="shared" si="2"/>
        <v>0</v>
      </c>
      <c r="X41" s="85" t="s">
        <v>174</v>
      </c>
      <c r="Y41" s="82">
        <v>0</v>
      </c>
      <c r="Z41" s="86">
        <f t="shared" si="3"/>
        <v>1.2</v>
      </c>
      <c r="AA41" s="129">
        <f t="shared" si="4"/>
        <v>12</v>
      </c>
      <c r="AB41" s="88"/>
    </row>
    <row r="42" spans="1:28" x14ac:dyDescent="0.35">
      <c r="A42" s="20" t="s">
        <v>39</v>
      </c>
      <c r="B42" s="74">
        <v>1230</v>
      </c>
      <c r="C42" s="75">
        <v>2</v>
      </c>
      <c r="D42" s="76" t="s">
        <v>175</v>
      </c>
      <c r="E42" s="77">
        <v>1</v>
      </c>
      <c r="F42" s="78">
        <f t="shared" si="0"/>
        <v>50</v>
      </c>
      <c r="G42" s="79">
        <v>1</v>
      </c>
      <c r="H42" s="80">
        <v>0.5</v>
      </c>
      <c r="I42" s="76" t="s">
        <v>174</v>
      </c>
      <c r="J42" s="77">
        <v>0</v>
      </c>
      <c r="K42" s="81">
        <v>0</v>
      </c>
      <c r="L42" s="82">
        <v>0</v>
      </c>
      <c r="M42" s="76" t="s">
        <v>174</v>
      </c>
      <c r="N42" s="80">
        <v>0</v>
      </c>
      <c r="O42" s="76" t="s">
        <v>175</v>
      </c>
      <c r="P42" s="77">
        <v>2</v>
      </c>
      <c r="Q42" s="83">
        <f>2/9*100</f>
        <v>22.222222222222221</v>
      </c>
      <c r="R42" s="79">
        <v>1</v>
      </c>
      <c r="S42" s="80">
        <v>0.2</v>
      </c>
      <c r="T42" s="76" t="s">
        <v>174</v>
      </c>
      <c r="U42" s="84">
        <v>0</v>
      </c>
      <c r="V42" s="79">
        <v>0</v>
      </c>
      <c r="W42" s="80">
        <f t="shared" si="2"/>
        <v>0</v>
      </c>
      <c r="X42" s="85" t="s">
        <v>174</v>
      </c>
      <c r="Y42" s="82">
        <v>0</v>
      </c>
      <c r="Z42" s="86">
        <f t="shared" si="3"/>
        <v>2.7</v>
      </c>
      <c r="AA42" s="129">
        <f t="shared" si="4"/>
        <v>27</v>
      </c>
      <c r="AB42" s="90"/>
    </row>
    <row r="43" spans="1:28" x14ac:dyDescent="0.35">
      <c r="A43" s="20" t="s">
        <v>40</v>
      </c>
      <c r="B43" s="74">
        <v>860</v>
      </c>
      <c r="C43" s="75">
        <v>1</v>
      </c>
      <c r="D43" s="76" t="s">
        <v>175</v>
      </c>
      <c r="E43" s="77">
        <v>1</v>
      </c>
      <c r="F43" s="78">
        <f t="shared" si="0"/>
        <v>100</v>
      </c>
      <c r="G43" s="79">
        <v>1</v>
      </c>
      <c r="H43" s="80">
        <v>1</v>
      </c>
      <c r="I43" s="76" t="s">
        <v>174</v>
      </c>
      <c r="J43" s="77">
        <v>0</v>
      </c>
      <c r="K43" s="81">
        <v>0</v>
      </c>
      <c r="L43" s="82">
        <v>0</v>
      </c>
      <c r="M43" s="76" t="s">
        <v>174</v>
      </c>
      <c r="N43" s="80">
        <v>0</v>
      </c>
      <c r="O43" s="76" t="s">
        <v>174</v>
      </c>
      <c r="P43" s="77">
        <v>0</v>
      </c>
      <c r="Q43" s="83">
        <v>0</v>
      </c>
      <c r="R43" s="79">
        <v>0</v>
      </c>
      <c r="S43" s="80">
        <v>0</v>
      </c>
      <c r="T43" s="76" t="s">
        <v>174</v>
      </c>
      <c r="U43" s="84">
        <v>0</v>
      </c>
      <c r="V43" s="79">
        <v>0</v>
      </c>
      <c r="W43" s="80">
        <f t="shared" si="2"/>
        <v>0</v>
      </c>
      <c r="X43" s="85" t="s">
        <v>174</v>
      </c>
      <c r="Y43" s="82">
        <v>0</v>
      </c>
      <c r="Z43" s="86">
        <f t="shared" si="3"/>
        <v>2</v>
      </c>
      <c r="AA43" s="129">
        <f t="shared" si="4"/>
        <v>20</v>
      </c>
      <c r="AB43" s="88"/>
    </row>
    <row r="44" spans="1:28" x14ac:dyDescent="0.35">
      <c r="A44" s="20" t="s">
        <v>176</v>
      </c>
      <c r="B44" s="74">
        <v>1130</v>
      </c>
      <c r="C44" s="75">
        <v>1</v>
      </c>
      <c r="D44" s="76" t="s">
        <v>174</v>
      </c>
      <c r="E44" s="77">
        <v>0</v>
      </c>
      <c r="F44" s="78">
        <f t="shared" si="0"/>
        <v>0</v>
      </c>
      <c r="G44" s="79">
        <v>0</v>
      </c>
      <c r="H44" s="80">
        <f t="shared" ref="H44:H52" si="6">0.1*E44</f>
        <v>0</v>
      </c>
      <c r="I44" s="76" t="s">
        <v>174</v>
      </c>
      <c r="J44" s="77">
        <v>0</v>
      </c>
      <c r="K44" s="81">
        <v>0</v>
      </c>
      <c r="L44" s="82">
        <v>0</v>
      </c>
      <c r="M44" s="76" t="s">
        <v>174</v>
      </c>
      <c r="N44" s="80">
        <v>0</v>
      </c>
      <c r="O44" s="76" t="s">
        <v>175</v>
      </c>
      <c r="P44" s="77">
        <v>1</v>
      </c>
      <c r="Q44" s="83">
        <f>1/5*100</f>
        <v>20</v>
      </c>
      <c r="R44" s="79">
        <v>0</v>
      </c>
      <c r="S44" s="80">
        <v>0.2</v>
      </c>
      <c r="T44" s="76" t="s">
        <v>174</v>
      </c>
      <c r="U44" s="84">
        <v>0</v>
      </c>
      <c r="V44" s="79">
        <v>0</v>
      </c>
      <c r="W44" s="80">
        <f t="shared" si="2"/>
        <v>0</v>
      </c>
      <c r="X44" s="85" t="s">
        <v>174</v>
      </c>
      <c r="Y44" s="82">
        <v>0</v>
      </c>
      <c r="Z44" s="86">
        <f t="shared" si="3"/>
        <v>0.2</v>
      </c>
      <c r="AA44" s="129">
        <f t="shared" si="4"/>
        <v>2</v>
      </c>
      <c r="AB44" s="88"/>
    </row>
    <row r="45" spans="1:28" x14ac:dyDescent="0.35">
      <c r="A45" s="20" t="s">
        <v>42</v>
      </c>
      <c r="B45" s="92">
        <v>11150</v>
      </c>
      <c r="C45" s="93">
        <v>16</v>
      </c>
      <c r="D45" s="76" t="s">
        <v>174</v>
      </c>
      <c r="E45" s="77">
        <v>0</v>
      </c>
      <c r="F45" s="78">
        <f t="shared" si="0"/>
        <v>0</v>
      </c>
      <c r="G45" s="79">
        <v>0</v>
      </c>
      <c r="H45" s="80">
        <f t="shared" si="6"/>
        <v>0</v>
      </c>
      <c r="I45" s="76" t="s">
        <v>174</v>
      </c>
      <c r="J45" s="77">
        <v>0</v>
      </c>
      <c r="K45" s="81">
        <v>0</v>
      </c>
      <c r="L45" s="82">
        <v>0</v>
      </c>
      <c r="M45" s="76" t="s">
        <v>174</v>
      </c>
      <c r="N45" s="80">
        <v>0</v>
      </c>
      <c r="O45" s="76" t="s">
        <v>175</v>
      </c>
      <c r="P45" s="77">
        <v>1</v>
      </c>
      <c r="Q45" s="83">
        <f>1/16*100</f>
        <v>6.25</v>
      </c>
      <c r="R45" s="79">
        <v>1</v>
      </c>
      <c r="S45" s="80">
        <v>0</v>
      </c>
      <c r="T45" s="76" t="s">
        <v>174</v>
      </c>
      <c r="U45" s="84">
        <v>0</v>
      </c>
      <c r="V45" s="79">
        <v>0</v>
      </c>
      <c r="W45" s="80">
        <f t="shared" si="2"/>
        <v>0</v>
      </c>
      <c r="X45" s="85" t="s">
        <v>174</v>
      </c>
      <c r="Y45" s="82">
        <v>0</v>
      </c>
      <c r="Z45" s="86">
        <f t="shared" si="3"/>
        <v>1</v>
      </c>
      <c r="AA45" s="129">
        <f t="shared" si="4"/>
        <v>10</v>
      </c>
      <c r="AB45" s="88"/>
    </row>
    <row r="46" spans="1:28" x14ac:dyDescent="0.35">
      <c r="A46" s="20" t="s">
        <v>43</v>
      </c>
      <c r="B46" s="74">
        <v>940</v>
      </c>
      <c r="C46" s="75">
        <v>1</v>
      </c>
      <c r="D46" s="76" t="s">
        <v>174</v>
      </c>
      <c r="E46" s="77">
        <v>0</v>
      </c>
      <c r="F46" s="78">
        <f t="shared" si="0"/>
        <v>0</v>
      </c>
      <c r="G46" s="79">
        <v>0</v>
      </c>
      <c r="H46" s="80">
        <f t="shared" si="6"/>
        <v>0</v>
      </c>
      <c r="I46" s="76" t="s">
        <v>174</v>
      </c>
      <c r="J46" s="77">
        <v>0</v>
      </c>
      <c r="K46" s="81">
        <v>0</v>
      </c>
      <c r="L46" s="82">
        <v>0.1</v>
      </c>
      <c r="M46" s="76" t="s">
        <v>174</v>
      </c>
      <c r="N46" s="80">
        <v>0</v>
      </c>
      <c r="O46" s="76" t="s">
        <v>175</v>
      </c>
      <c r="P46" s="77">
        <v>1</v>
      </c>
      <c r="Q46" s="83">
        <f>1/7*100</f>
        <v>14.285714285714285</v>
      </c>
      <c r="R46" s="79">
        <v>1</v>
      </c>
      <c r="S46" s="80">
        <v>0.1</v>
      </c>
      <c r="T46" s="76" t="s">
        <v>174</v>
      </c>
      <c r="U46" s="84">
        <v>0</v>
      </c>
      <c r="V46" s="79">
        <v>0</v>
      </c>
      <c r="W46" s="80">
        <f t="shared" si="2"/>
        <v>0</v>
      </c>
      <c r="X46" s="85" t="s">
        <v>174</v>
      </c>
      <c r="Y46" s="82">
        <v>0</v>
      </c>
      <c r="Z46" s="86">
        <f t="shared" si="3"/>
        <v>1.2000000000000002</v>
      </c>
      <c r="AA46" s="129">
        <f t="shared" si="4"/>
        <v>12.000000000000002</v>
      </c>
      <c r="AB46" s="88"/>
    </row>
    <row r="47" spans="1:28" x14ac:dyDescent="0.35">
      <c r="A47" s="20" t="s">
        <v>44</v>
      </c>
      <c r="B47" s="74">
        <v>690</v>
      </c>
      <c r="C47" s="75">
        <v>1</v>
      </c>
      <c r="D47" s="76" t="s">
        <v>174</v>
      </c>
      <c r="E47" s="77">
        <v>0</v>
      </c>
      <c r="F47" s="78">
        <f t="shared" si="0"/>
        <v>0</v>
      </c>
      <c r="G47" s="79">
        <v>0</v>
      </c>
      <c r="H47" s="80">
        <f t="shared" si="6"/>
        <v>0</v>
      </c>
      <c r="I47" s="76" t="s">
        <v>174</v>
      </c>
      <c r="J47" s="77">
        <v>0</v>
      </c>
      <c r="K47" s="81">
        <v>0</v>
      </c>
      <c r="L47" s="82">
        <v>0</v>
      </c>
      <c r="M47" s="76" t="s">
        <v>174</v>
      </c>
      <c r="N47" s="80">
        <v>0</v>
      </c>
      <c r="O47" s="76" t="s">
        <v>174</v>
      </c>
      <c r="P47" s="77">
        <v>0</v>
      </c>
      <c r="Q47" s="83">
        <v>0</v>
      </c>
      <c r="R47" s="79">
        <v>0</v>
      </c>
      <c r="S47" s="80">
        <v>0</v>
      </c>
      <c r="T47" s="76" t="s">
        <v>174</v>
      </c>
      <c r="U47" s="84">
        <v>0</v>
      </c>
      <c r="V47" s="79">
        <v>0</v>
      </c>
      <c r="W47" s="80">
        <f t="shared" si="2"/>
        <v>0</v>
      </c>
      <c r="X47" s="85" t="s">
        <v>174</v>
      </c>
      <c r="Y47" s="82">
        <v>0</v>
      </c>
      <c r="Z47" s="86">
        <f t="shared" si="3"/>
        <v>0</v>
      </c>
      <c r="AA47" s="129">
        <f t="shared" si="4"/>
        <v>0</v>
      </c>
      <c r="AB47" s="88"/>
    </row>
    <row r="48" spans="1:28" x14ac:dyDescent="0.35">
      <c r="A48" s="20" t="s">
        <v>45</v>
      </c>
      <c r="B48" s="74">
        <v>1080</v>
      </c>
      <c r="C48" s="75">
        <v>2</v>
      </c>
      <c r="D48" s="76" t="s">
        <v>174</v>
      </c>
      <c r="E48" s="77">
        <v>0</v>
      </c>
      <c r="F48" s="78">
        <f t="shared" si="0"/>
        <v>0</v>
      </c>
      <c r="G48" s="79">
        <v>0</v>
      </c>
      <c r="H48" s="80">
        <f t="shared" si="6"/>
        <v>0</v>
      </c>
      <c r="I48" s="76" t="s">
        <v>174</v>
      </c>
      <c r="J48" s="77">
        <v>0</v>
      </c>
      <c r="K48" s="81">
        <v>0</v>
      </c>
      <c r="L48" s="82">
        <v>0</v>
      </c>
      <c r="M48" s="76" t="s">
        <v>174</v>
      </c>
      <c r="N48" s="80">
        <v>0</v>
      </c>
      <c r="O48" s="76" t="s">
        <v>174</v>
      </c>
      <c r="P48" s="77">
        <v>0</v>
      </c>
      <c r="Q48" s="83">
        <v>0</v>
      </c>
      <c r="R48" s="79">
        <v>0</v>
      </c>
      <c r="S48" s="80">
        <v>0</v>
      </c>
      <c r="T48" s="76" t="s">
        <v>174</v>
      </c>
      <c r="U48" s="84">
        <v>0</v>
      </c>
      <c r="V48" s="79">
        <v>0</v>
      </c>
      <c r="W48" s="80">
        <f t="shared" si="2"/>
        <v>0</v>
      </c>
      <c r="X48" s="85" t="s">
        <v>174</v>
      </c>
      <c r="Y48" s="82">
        <v>0</v>
      </c>
      <c r="Z48" s="86">
        <f t="shared" si="3"/>
        <v>0</v>
      </c>
      <c r="AA48" s="129">
        <f t="shared" si="4"/>
        <v>0</v>
      </c>
      <c r="AB48" s="88"/>
    </row>
    <row r="49" spans="1:28" x14ac:dyDescent="0.35">
      <c r="A49" s="20" t="s">
        <v>173</v>
      </c>
      <c r="B49" s="89" t="s">
        <v>50</v>
      </c>
      <c r="C49" s="75">
        <v>1</v>
      </c>
      <c r="D49" s="76" t="s">
        <v>174</v>
      </c>
      <c r="E49" s="77">
        <v>0</v>
      </c>
      <c r="F49" s="78">
        <f t="shared" si="0"/>
        <v>0</v>
      </c>
      <c r="G49" s="79">
        <v>0</v>
      </c>
      <c r="H49" s="80">
        <f t="shared" si="6"/>
        <v>0</v>
      </c>
      <c r="I49" s="76" t="s">
        <v>174</v>
      </c>
      <c r="J49" s="77">
        <v>0</v>
      </c>
      <c r="K49" s="81">
        <v>0</v>
      </c>
      <c r="L49" s="82">
        <v>0</v>
      </c>
      <c r="M49" s="76" t="s">
        <v>174</v>
      </c>
      <c r="N49" s="80">
        <v>0</v>
      </c>
      <c r="O49" s="76" t="s">
        <v>174</v>
      </c>
      <c r="P49" s="77">
        <v>0</v>
      </c>
      <c r="Q49" s="83">
        <v>0</v>
      </c>
      <c r="R49" s="79">
        <v>0</v>
      </c>
      <c r="S49" s="80">
        <v>0</v>
      </c>
      <c r="T49" s="76" t="s">
        <v>174</v>
      </c>
      <c r="U49" s="84">
        <v>0</v>
      </c>
      <c r="V49" s="79">
        <v>0</v>
      </c>
      <c r="W49" s="80">
        <f t="shared" si="2"/>
        <v>0</v>
      </c>
      <c r="X49" s="85" t="s">
        <v>174</v>
      </c>
      <c r="Y49" s="82">
        <v>0</v>
      </c>
      <c r="Z49" s="86">
        <f t="shared" si="3"/>
        <v>0</v>
      </c>
      <c r="AA49" s="129">
        <f t="shared" si="4"/>
        <v>0</v>
      </c>
      <c r="AB49" s="88"/>
    </row>
    <row r="50" spans="1:28" x14ac:dyDescent="0.35">
      <c r="A50" s="20" t="s">
        <v>46</v>
      </c>
      <c r="B50" s="74">
        <v>4700</v>
      </c>
      <c r="C50" s="75">
        <v>7</v>
      </c>
      <c r="D50" s="76" t="s">
        <v>174</v>
      </c>
      <c r="E50" s="77">
        <v>0</v>
      </c>
      <c r="F50" s="78">
        <f t="shared" si="0"/>
        <v>0</v>
      </c>
      <c r="G50" s="79">
        <v>0</v>
      </c>
      <c r="H50" s="80">
        <f t="shared" si="6"/>
        <v>0</v>
      </c>
      <c r="I50" s="76" t="s">
        <v>174</v>
      </c>
      <c r="J50" s="77">
        <v>0</v>
      </c>
      <c r="K50" s="81">
        <v>0</v>
      </c>
      <c r="L50" s="82">
        <v>0</v>
      </c>
      <c r="M50" s="76" t="s">
        <v>174</v>
      </c>
      <c r="N50" s="80">
        <v>0</v>
      </c>
      <c r="O50" s="76" t="s">
        <v>175</v>
      </c>
      <c r="P50" s="77">
        <v>3</v>
      </c>
      <c r="Q50" s="83">
        <f>3/6*100</f>
        <v>50</v>
      </c>
      <c r="R50" s="79">
        <v>1</v>
      </c>
      <c r="S50" s="80">
        <v>0.5</v>
      </c>
      <c r="T50" s="76" t="s">
        <v>174</v>
      </c>
      <c r="U50" s="84">
        <v>0</v>
      </c>
      <c r="V50" s="79">
        <v>0</v>
      </c>
      <c r="W50" s="80">
        <f t="shared" si="2"/>
        <v>0</v>
      </c>
      <c r="X50" s="85" t="s">
        <v>174</v>
      </c>
      <c r="Y50" s="82">
        <v>0</v>
      </c>
      <c r="Z50" s="86">
        <f t="shared" si="3"/>
        <v>1.5</v>
      </c>
      <c r="AA50" s="129">
        <f t="shared" si="4"/>
        <v>15</v>
      </c>
      <c r="AB50" s="88"/>
    </row>
    <row r="51" spans="1:28" x14ac:dyDescent="0.35">
      <c r="A51" s="20" t="s">
        <v>47</v>
      </c>
      <c r="B51" s="74">
        <v>12110</v>
      </c>
      <c r="C51" s="75">
        <v>16</v>
      </c>
      <c r="D51" s="76" t="s">
        <v>174</v>
      </c>
      <c r="E51" s="77">
        <v>0</v>
      </c>
      <c r="F51" s="78">
        <f t="shared" si="0"/>
        <v>0</v>
      </c>
      <c r="G51" s="79">
        <v>0</v>
      </c>
      <c r="H51" s="80">
        <f t="shared" si="6"/>
        <v>0</v>
      </c>
      <c r="I51" s="76" t="s">
        <v>174</v>
      </c>
      <c r="J51" s="77">
        <v>0</v>
      </c>
      <c r="K51" s="81">
        <v>0</v>
      </c>
      <c r="L51" s="82">
        <v>0</v>
      </c>
      <c r="M51" s="76" t="s">
        <v>174</v>
      </c>
      <c r="N51" s="80">
        <v>0</v>
      </c>
      <c r="O51" s="76" t="s">
        <v>174</v>
      </c>
      <c r="P51" s="77">
        <v>0</v>
      </c>
      <c r="Q51" s="83">
        <v>0</v>
      </c>
      <c r="R51" s="79">
        <v>0</v>
      </c>
      <c r="S51" s="80">
        <v>0</v>
      </c>
      <c r="T51" s="76" t="s">
        <v>174</v>
      </c>
      <c r="U51" s="84">
        <v>0</v>
      </c>
      <c r="V51" s="79">
        <v>0</v>
      </c>
      <c r="W51" s="80">
        <f t="shared" si="2"/>
        <v>0</v>
      </c>
      <c r="X51" s="85" t="s">
        <v>174</v>
      </c>
      <c r="Y51" s="82">
        <v>0</v>
      </c>
      <c r="Z51" s="86">
        <f t="shared" si="3"/>
        <v>0</v>
      </c>
      <c r="AA51" s="129">
        <f t="shared" si="4"/>
        <v>0</v>
      </c>
      <c r="AB51" s="88"/>
    </row>
    <row r="52" spans="1:28" ht="15" thickBot="1" x14ac:dyDescent="0.4">
      <c r="A52" s="20" t="s">
        <v>48</v>
      </c>
      <c r="B52" s="94">
        <v>990</v>
      </c>
      <c r="C52" s="95">
        <v>1</v>
      </c>
      <c r="D52" s="96" t="s">
        <v>174</v>
      </c>
      <c r="E52" s="97">
        <v>0</v>
      </c>
      <c r="F52" s="98">
        <f t="shared" si="0"/>
        <v>0</v>
      </c>
      <c r="G52" s="99">
        <v>0</v>
      </c>
      <c r="H52" s="100">
        <f t="shared" si="6"/>
        <v>0</v>
      </c>
      <c r="I52" s="96" t="s">
        <v>174</v>
      </c>
      <c r="J52" s="97">
        <v>0</v>
      </c>
      <c r="K52" s="101">
        <v>0</v>
      </c>
      <c r="L52" s="102">
        <v>0</v>
      </c>
      <c r="M52" s="96" t="s">
        <v>174</v>
      </c>
      <c r="N52" s="100">
        <v>0</v>
      </c>
      <c r="O52" s="96" t="s">
        <v>174</v>
      </c>
      <c r="P52" s="97">
        <v>0</v>
      </c>
      <c r="Q52" s="103">
        <v>0</v>
      </c>
      <c r="R52" s="99">
        <v>0</v>
      </c>
      <c r="S52" s="100">
        <v>0</v>
      </c>
      <c r="T52" s="96" t="s">
        <v>174</v>
      </c>
      <c r="U52" s="104">
        <v>0</v>
      </c>
      <c r="V52" s="99">
        <v>0</v>
      </c>
      <c r="W52" s="100">
        <f t="shared" si="2"/>
        <v>0</v>
      </c>
      <c r="X52" s="105" t="s">
        <v>174</v>
      </c>
      <c r="Y52" s="102">
        <v>0</v>
      </c>
      <c r="Z52" s="106">
        <f t="shared" si="3"/>
        <v>0</v>
      </c>
      <c r="AA52" s="258">
        <f t="shared" si="4"/>
        <v>0</v>
      </c>
      <c r="AB52" s="108"/>
    </row>
    <row r="53" spans="1:28" x14ac:dyDescent="0.35">
      <c r="A53" s="45"/>
      <c r="B53" s="46"/>
      <c r="C53" s="46"/>
      <c r="D53" s="47"/>
      <c r="E53" s="47"/>
      <c r="F53" s="48"/>
      <c r="G53" s="48"/>
      <c r="H53" s="48"/>
      <c r="I53" s="48"/>
      <c r="J53" s="48"/>
      <c r="K53" s="49"/>
      <c r="L53" s="49"/>
      <c r="M53" s="48"/>
      <c r="N53" s="48"/>
      <c r="O53" s="48"/>
      <c r="P53" s="48"/>
      <c r="Q53" s="48"/>
      <c r="R53" s="48"/>
      <c r="S53" s="48"/>
      <c r="T53" s="47"/>
      <c r="U53" s="50"/>
      <c r="V53" s="48"/>
      <c r="W53" s="48"/>
      <c r="X53" s="49"/>
      <c r="Y53" s="49"/>
      <c r="Z53" s="48"/>
      <c r="AA53" s="20"/>
      <c r="AB53" s="20"/>
    </row>
    <row r="54" spans="1:28" x14ac:dyDescent="0.35">
      <c r="A54" s="51"/>
      <c r="B54" s="354" t="s">
        <v>245</v>
      </c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20"/>
      <c r="R54" s="20"/>
      <c r="S54" s="20"/>
      <c r="T54" s="41"/>
      <c r="U54" s="20"/>
      <c r="V54" s="20"/>
      <c r="W54" s="20"/>
      <c r="X54" s="20"/>
      <c r="Y54" s="20"/>
      <c r="Z54" s="20"/>
      <c r="AA54" s="20"/>
      <c r="AB54" s="20"/>
    </row>
    <row r="55" spans="1:28" x14ac:dyDescent="0.35">
      <c r="A55" s="52"/>
      <c r="B55" s="353" t="s">
        <v>317</v>
      </c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20"/>
      <c r="R55" s="20"/>
      <c r="S55" s="20"/>
      <c r="T55" s="41"/>
      <c r="U55" s="20"/>
      <c r="V55" s="20"/>
      <c r="W55" s="20"/>
      <c r="X55" s="20"/>
      <c r="Y55" s="20"/>
      <c r="Z55" s="20"/>
      <c r="AA55" s="20"/>
      <c r="AB55" s="20"/>
    </row>
    <row r="56" spans="1:28" x14ac:dyDescent="0.35">
      <c r="A56" s="53"/>
      <c r="B56" s="353" t="s">
        <v>295</v>
      </c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20"/>
      <c r="R56" s="20"/>
      <c r="S56" s="20"/>
      <c r="T56" s="41"/>
      <c r="U56" s="20"/>
      <c r="V56" s="20"/>
      <c r="W56" s="20"/>
      <c r="X56" s="20"/>
      <c r="Y56" s="20"/>
      <c r="Z56" s="20"/>
      <c r="AA56" s="20"/>
      <c r="AB56" s="20"/>
    </row>
    <row r="57" spans="1:28" x14ac:dyDescent="0.35">
      <c r="A57" s="54"/>
      <c r="B57" s="353" t="s">
        <v>296</v>
      </c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20"/>
      <c r="R57" s="20"/>
      <c r="S57" s="20"/>
      <c r="T57" s="41"/>
      <c r="U57" s="20"/>
      <c r="V57" s="20"/>
      <c r="W57" s="20"/>
      <c r="X57" s="20"/>
      <c r="Y57" s="20"/>
      <c r="Z57" s="20"/>
      <c r="AA57" s="20"/>
      <c r="AB57" s="20"/>
    </row>
    <row r="58" spans="1:28" x14ac:dyDescent="0.35">
      <c r="A58" s="55"/>
      <c r="B58" s="353" t="s">
        <v>297</v>
      </c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20"/>
      <c r="R58" s="20"/>
      <c r="S58" s="20"/>
      <c r="T58" s="41"/>
      <c r="U58" s="20"/>
      <c r="V58" s="20"/>
      <c r="W58" s="20"/>
      <c r="X58" s="20"/>
      <c r="Y58" s="20"/>
      <c r="Z58" s="20"/>
      <c r="AA58" s="20"/>
      <c r="AB58" s="20"/>
    </row>
    <row r="59" spans="1:28" x14ac:dyDescent="0.35">
      <c r="A59" s="56"/>
      <c r="B59" s="353" t="s">
        <v>318</v>
      </c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20"/>
      <c r="R59" s="20"/>
      <c r="S59" s="20"/>
      <c r="T59" s="41"/>
      <c r="U59" s="20"/>
      <c r="V59" s="20"/>
      <c r="W59" s="20"/>
      <c r="X59" s="20"/>
      <c r="Y59" s="20"/>
      <c r="Z59" s="20"/>
      <c r="AA59" s="20"/>
      <c r="AB59" s="20"/>
    </row>
  </sheetData>
  <mergeCells count="12">
    <mergeCell ref="AC3:AC4"/>
    <mergeCell ref="AB3:AB4"/>
    <mergeCell ref="O3:Y3"/>
    <mergeCell ref="Z3:Z4"/>
    <mergeCell ref="AA3:AA4"/>
    <mergeCell ref="D3:N3"/>
    <mergeCell ref="B58:P58"/>
    <mergeCell ref="B59:P59"/>
    <mergeCell ref="B54:P54"/>
    <mergeCell ref="B55:P55"/>
    <mergeCell ref="B56:P56"/>
    <mergeCell ref="B57:P57"/>
  </mergeCells>
  <conditionalFormatting sqref="AA6:AA52">
    <cfRule type="cellIs" dxfId="14" priority="1" operator="between">
      <formula>75</formula>
      <formula>100</formula>
    </cfRule>
    <cfRule type="cellIs" dxfId="13" priority="2" operator="between">
      <formula>56</formula>
      <formula>74.99</formula>
    </cfRule>
    <cfRule type="cellIs" dxfId="12" priority="3" operator="between">
      <formula>45</formula>
      <formula>55.99</formula>
    </cfRule>
    <cfRule type="cellIs" dxfId="11" priority="4" operator="between">
      <formula>25.01</formula>
      <formula>44.99</formula>
    </cfRule>
    <cfRule type="cellIs" dxfId="10" priority="5" operator="between">
      <formula>0</formula>
      <formula>25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B9A44-E0EE-42D6-9F9F-A1C6CFA83707}">
  <sheetPr>
    <tabColor rgb="FFEAF3FA"/>
  </sheetPr>
  <dimension ref="A1:T78"/>
  <sheetViews>
    <sheetView topLeftCell="A66" zoomScale="80" zoomScaleNormal="80" workbookViewId="0">
      <selection activeCell="A77" sqref="A77:C77"/>
    </sheetView>
  </sheetViews>
  <sheetFormatPr defaultRowHeight="14" x14ac:dyDescent="0.3"/>
  <cols>
    <col min="1" max="2" width="8.7265625" style="20"/>
    <col min="3" max="3" width="10.453125" style="20" customWidth="1"/>
    <col min="4" max="6" width="8.7265625" style="20"/>
    <col min="7" max="7" width="1.81640625" style="20" customWidth="1"/>
    <col min="8" max="12" width="8.7265625" style="20"/>
    <col min="13" max="13" width="8.81640625" style="20" customWidth="1"/>
    <col min="14" max="14" width="1.81640625" style="20" customWidth="1"/>
    <col min="15" max="18" width="8.7265625" style="20"/>
    <col min="19" max="19" width="8.7265625" style="20" customWidth="1"/>
    <col min="20" max="20" width="8.81640625" style="20" customWidth="1"/>
    <col min="21" max="16384" width="8.7265625" style="20"/>
  </cols>
  <sheetData>
    <row r="1" spans="1:20" ht="18.5" thickBot="1" x14ac:dyDescent="0.35">
      <c r="A1" s="344" t="s">
        <v>277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6"/>
    </row>
    <row r="2" spans="1:20" ht="18.5" thickBot="1" x14ac:dyDescent="0.45">
      <c r="A2" s="33"/>
    </row>
    <row r="3" spans="1:20" ht="16" thickBot="1" x14ac:dyDescent="0.35">
      <c r="A3" s="403" t="s">
        <v>162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5"/>
    </row>
    <row r="4" spans="1:20" ht="14.5" thickBot="1" x14ac:dyDescent="0.35"/>
    <row r="5" spans="1:20" ht="14.5" thickBot="1" x14ac:dyDescent="0.35">
      <c r="A5" s="213" t="s">
        <v>51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3"/>
    </row>
    <row r="7" spans="1:20" x14ac:dyDescent="0.3">
      <c r="A7" s="369" t="s">
        <v>60</v>
      </c>
      <c r="B7" s="370" t="s">
        <v>79</v>
      </c>
      <c r="C7" s="371"/>
      <c r="D7" s="371"/>
      <c r="E7" s="371"/>
      <c r="F7" s="371"/>
      <c r="G7" s="43"/>
      <c r="H7" s="364" t="s">
        <v>71</v>
      </c>
      <c r="I7" s="365" t="s">
        <v>75</v>
      </c>
      <c r="J7" s="366"/>
      <c r="K7" s="366"/>
      <c r="L7" s="366"/>
      <c r="M7" s="366"/>
      <c r="N7" s="43"/>
      <c r="O7" s="367" t="s">
        <v>73</v>
      </c>
      <c r="P7" s="368" t="s">
        <v>76</v>
      </c>
      <c r="Q7" s="368"/>
      <c r="R7" s="368"/>
      <c r="S7" s="368"/>
      <c r="T7" s="368"/>
    </row>
    <row r="8" spans="1:20" x14ac:dyDescent="0.3">
      <c r="A8" s="369"/>
      <c r="B8" s="214" t="s">
        <v>61</v>
      </c>
      <c r="C8" s="279" t="s">
        <v>67</v>
      </c>
      <c r="D8" s="279"/>
      <c r="E8" s="279"/>
      <c r="F8" s="279"/>
      <c r="G8" s="43"/>
      <c r="H8" s="364"/>
      <c r="I8" s="214" t="s">
        <v>61</v>
      </c>
      <c r="J8" s="279" t="s">
        <v>67</v>
      </c>
      <c r="K8" s="279"/>
      <c r="L8" s="279"/>
      <c r="M8" s="279"/>
      <c r="N8" s="43"/>
      <c r="O8" s="367"/>
      <c r="P8" s="44" t="s">
        <v>61</v>
      </c>
      <c r="Q8" s="279" t="s">
        <v>67</v>
      </c>
      <c r="R8" s="279"/>
      <c r="S8" s="279"/>
      <c r="T8" s="279"/>
    </row>
    <row r="9" spans="1:20" x14ac:dyDescent="0.3">
      <c r="A9" s="369"/>
      <c r="B9" s="215" t="s">
        <v>62</v>
      </c>
      <c r="C9" s="279" t="s">
        <v>64</v>
      </c>
      <c r="D9" s="279"/>
      <c r="E9" s="279"/>
      <c r="F9" s="279"/>
      <c r="G9" s="43"/>
      <c r="H9" s="364"/>
      <c r="I9" s="214" t="s">
        <v>62</v>
      </c>
      <c r="J9" s="279" t="s">
        <v>72</v>
      </c>
      <c r="K9" s="279"/>
      <c r="L9" s="279"/>
      <c r="M9" s="279"/>
      <c r="N9" s="43"/>
      <c r="O9" s="367"/>
      <c r="P9" s="216" t="s">
        <v>62</v>
      </c>
      <c r="Q9" s="279" t="s">
        <v>66</v>
      </c>
      <c r="R9" s="279"/>
      <c r="S9" s="279"/>
      <c r="T9" s="279"/>
    </row>
    <row r="10" spans="1:20" x14ac:dyDescent="0.3">
      <c r="A10" s="369"/>
      <c r="B10" s="214" t="s">
        <v>63</v>
      </c>
      <c r="C10" s="279" t="s">
        <v>83</v>
      </c>
      <c r="D10" s="279"/>
      <c r="E10" s="279"/>
      <c r="F10" s="279"/>
      <c r="G10" s="43"/>
      <c r="H10" s="364"/>
      <c r="I10" s="214" t="s">
        <v>63</v>
      </c>
      <c r="J10" s="279" t="s">
        <v>66</v>
      </c>
      <c r="K10" s="279"/>
      <c r="L10" s="279"/>
      <c r="M10" s="279"/>
      <c r="N10" s="43"/>
      <c r="O10" s="367"/>
      <c r="P10" s="44" t="s">
        <v>63</v>
      </c>
      <c r="Q10" s="279" t="s">
        <v>64</v>
      </c>
      <c r="R10" s="279"/>
      <c r="S10" s="279"/>
      <c r="T10" s="279"/>
    </row>
    <row r="11" spans="1:20" x14ac:dyDescent="0.3">
      <c r="A11" s="369"/>
      <c r="B11" s="214" t="s">
        <v>65</v>
      </c>
      <c r="C11" s="279" t="s">
        <v>68</v>
      </c>
      <c r="D11" s="279"/>
      <c r="E11" s="279"/>
      <c r="F11" s="279"/>
      <c r="G11" s="43"/>
      <c r="H11" s="364"/>
      <c r="I11" s="214" t="s">
        <v>65</v>
      </c>
      <c r="J11" s="279" t="s">
        <v>64</v>
      </c>
      <c r="K11" s="279"/>
      <c r="L11" s="279"/>
      <c r="M11" s="279"/>
      <c r="N11" s="43"/>
      <c r="O11" s="367"/>
      <c r="P11" s="44" t="s">
        <v>65</v>
      </c>
      <c r="Q11" s="279" t="s">
        <v>83</v>
      </c>
      <c r="R11" s="279"/>
      <c r="S11" s="279"/>
      <c r="T11" s="279"/>
    </row>
    <row r="12" spans="1:20" x14ac:dyDescent="0.3">
      <c r="A12" s="369"/>
      <c r="B12" s="214" t="s">
        <v>69</v>
      </c>
      <c r="C12" s="279" t="s">
        <v>70</v>
      </c>
      <c r="D12" s="279"/>
      <c r="E12" s="279"/>
      <c r="F12" s="279"/>
      <c r="G12" s="43"/>
      <c r="H12" s="364"/>
      <c r="I12" s="214" t="s">
        <v>69</v>
      </c>
      <c r="J12" s="279" t="s">
        <v>83</v>
      </c>
      <c r="K12" s="279"/>
      <c r="L12" s="279"/>
      <c r="M12" s="279"/>
      <c r="N12" s="43"/>
      <c r="O12" s="367"/>
      <c r="P12" s="44" t="s">
        <v>69</v>
      </c>
      <c r="Q12" s="279" t="s">
        <v>68</v>
      </c>
      <c r="R12" s="279"/>
      <c r="S12" s="279"/>
      <c r="T12" s="279"/>
    </row>
    <row r="13" spans="1:20" x14ac:dyDescent="0.3">
      <c r="A13" s="369"/>
      <c r="B13" s="214" t="s">
        <v>88</v>
      </c>
      <c r="C13" s="279" t="s">
        <v>74</v>
      </c>
      <c r="D13" s="279"/>
      <c r="E13" s="279"/>
      <c r="F13" s="279"/>
      <c r="G13" s="43"/>
      <c r="H13" s="364"/>
      <c r="I13" s="214" t="s">
        <v>88</v>
      </c>
      <c r="J13" s="279" t="s">
        <v>68</v>
      </c>
      <c r="K13" s="279"/>
      <c r="L13" s="279"/>
      <c r="M13" s="279"/>
      <c r="N13" s="43"/>
      <c r="O13" s="367"/>
      <c r="P13" s="44" t="s">
        <v>88</v>
      </c>
      <c r="Q13" s="279" t="s">
        <v>70</v>
      </c>
      <c r="R13" s="279"/>
      <c r="S13" s="279"/>
      <c r="T13" s="279"/>
    </row>
    <row r="14" spans="1:20" x14ac:dyDescent="0.3">
      <c r="A14" s="369"/>
      <c r="B14" s="214" t="s">
        <v>86</v>
      </c>
      <c r="C14" s="279" t="s">
        <v>87</v>
      </c>
      <c r="D14" s="279"/>
      <c r="E14" s="279"/>
      <c r="F14" s="279"/>
      <c r="G14" s="43"/>
      <c r="H14" s="364"/>
      <c r="I14" s="44" t="s">
        <v>86</v>
      </c>
      <c r="J14" s="279" t="s">
        <v>70</v>
      </c>
      <c r="K14" s="279"/>
      <c r="L14" s="279"/>
      <c r="M14" s="279"/>
      <c r="N14" s="43"/>
      <c r="O14" s="367"/>
      <c r="P14" s="44" t="s">
        <v>86</v>
      </c>
      <c r="Q14" s="279" t="s">
        <v>74</v>
      </c>
      <c r="R14" s="279"/>
      <c r="S14" s="279"/>
      <c r="T14" s="279"/>
    </row>
    <row r="16" spans="1:20" x14ac:dyDescent="0.3">
      <c r="A16" s="269" t="s">
        <v>77</v>
      </c>
      <c r="B16" s="269"/>
      <c r="C16" s="269"/>
      <c r="D16" s="269"/>
      <c r="E16" s="269"/>
      <c r="F16" s="222">
        <v>0</v>
      </c>
      <c r="G16" s="43"/>
      <c r="H16" s="269" t="s">
        <v>77</v>
      </c>
      <c r="I16" s="269"/>
      <c r="J16" s="269"/>
      <c r="K16" s="269"/>
      <c r="L16" s="269"/>
      <c r="M16" s="222">
        <v>0</v>
      </c>
      <c r="N16" s="43"/>
      <c r="O16" s="269" t="s">
        <v>77</v>
      </c>
      <c r="P16" s="269"/>
      <c r="Q16" s="269"/>
      <c r="R16" s="269"/>
      <c r="S16" s="269"/>
      <c r="T16" s="222">
        <v>0</v>
      </c>
    </row>
    <row r="17" spans="1:20" x14ac:dyDescent="0.3">
      <c r="A17" s="269" t="s">
        <v>89</v>
      </c>
      <c r="B17" s="269"/>
      <c r="C17" s="269"/>
      <c r="D17" s="269"/>
      <c r="E17" s="269"/>
      <c r="F17" s="223">
        <v>2</v>
      </c>
      <c r="G17" s="43"/>
      <c r="H17" s="269" t="s">
        <v>89</v>
      </c>
      <c r="I17" s="269"/>
      <c r="J17" s="269"/>
      <c r="K17" s="269"/>
      <c r="L17" s="269"/>
      <c r="M17" s="223">
        <v>1.5</v>
      </c>
      <c r="N17" s="43"/>
      <c r="O17" s="269" t="s">
        <v>89</v>
      </c>
      <c r="P17" s="269"/>
      <c r="Q17" s="269"/>
      <c r="R17" s="269"/>
      <c r="S17" s="269"/>
      <c r="T17" s="223">
        <v>1.75</v>
      </c>
    </row>
    <row r="18" spans="1:20" ht="14.5" thickBot="1" x14ac:dyDescent="0.35"/>
    <row r="19" spans="1:20" ht="14.5" thickBot="1" x14ac:dyDescent="0.35">
      <c r="A19" s="291" t="s">
        <v>78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3"/>
    </row>
    <row r="21" spans="1:20" ht="57.5" customHeight="1" x14ac:dyDescent="0.3">
      <c r="A21" s="406" t="s">
        <v>80</v>
      </c>
      <c r="B21" s="374" t="s">
        <v>113</v>
      </c>
      <c r="C21" s="374"/>
      <c r="D21" s="374"/>
      <c r="E21" s="374"/>
      <c r="F21" s="374"/>
      <c r="G21" s="43"/>
      <c r="H21" s="375" t="s">
        <v>84</v>
      </c>
      <c r="I21" s="378" t="s">
        <v>322</v>
      </c>
      <c r="J21" s="378"/>
      <c r="K21" s="378"/>
      <c r="L21" s="378"/>
      <c r="M21" s="378"/>
    </row>
    <row r="22" spans="1:20" x14ac:dyDescent="0.3">
      <c r="A22" s="407"/>
      <c r="B22" s="372" t="s">
        <v>81</v>
      </c>
      <c r="C22" s="372"/>
      <c r="D22" s="372"/>
      <c r="E22" s="279" t="s">
        <v>67</v>
      </c>
      <c r="F22" s="279"/>
      <c r="G22" s="43"/>
      <c r="H22" s="376"/>
      <c r="I22" s="372" t="s">
        <v>81</v>
      </c>
      <c r="J22" s="372"/>
      <c r="K22" s="372"/>
      <c r="L22" s="279" t="s">
        <v>67</v>
      </c>
      <c r="M22" s="279"/>
    </row>
    <row r="23" spans="1:20" x14ac:dyDescent="0.3">
      <c r="A23" s="407"/>
      <c r="B23" s="372" t="s">
        <v>82</v>
      </c>
      <c r="C23" s="372"/>
      <c r="D23" s="372"/>
      <c r="E23" s="279" t="s">
        <v>72</v>
      </c>
      <c r="F23" s="279"/>
      <c r="G23" s="43"/>
      <c r="H23" s="376"/>
      <c r="I23" s="372" t="s">
        <v>82</v>
      </c>
      <c r="J23" s="372"/>
      <c r="K23" s="372"/>
      <c r="L23" s="279" t="s">
        <v>72</v>
      </c>
      <c r="M23" s="279"/>
    </row>
    <row r="24" spans="1:20" x14ac:dyDescent="0.3">
      <c r="A24" s="407"/>
      <c r="B24" s="373" t="s">
        <v>112</v>
      </c>
      <c r="C24" s="373"/>
      <c r="D24" s="373"/>
      <c r="E24" s="279" t="s">
        <v>66</v>
      </c>
      <c r="F24" s="279"/>
      <c r="G24" s="43"/>
      <c r="H24" s="376"/>
      <c r="I24" s="373" t="s">
        <v>112</v>
      </c>
      <c r="J24" s="373"/>
      <c r="K24" s="373"/>
      <c r="L24" s="279" t="s">
        <v>66</v>
      </c>
      <c r="M24" s="279"/>
    </row>
    <row r="25" spans="1:20" x14ac:dyDescent="0.3">
      <c r="A25" s="407"/>
      <c r="B25" s="372" t="s">
        <v>111</v>
      </c>
      <c r="C25" s="372"/>
      <c r="D25" s="372"/>
      <c r="E25" s="279" t="s">
        <v>64</v>
      </c>
      <c r="F25" s="279"/>
      <c r="G25" s="43"/>
      <c r="H25" s="376"/>
      <c r="I25" s="372" t="s">
        <v>111</v>
      </c>
      <c r="J25" s="372"/>
      <c r="K25" s="372"/>
      <c r="L25" s="279" t="s">
        <v>64</v>
      </c>
      <c r="M25" s="279"/>
    </row>
    <row r="26" spans="1:20" x14ac:dyDescent="0.3">
      <c r="A26" s="407"/>
      <c r="B26" s="372" t="s">
        <v>110</v>
      </c>
      <c r="C26" s="372"/>
      <c r="D26" s="372"/>
      <c r="E26" s="279" t="s">
        <v>83</v>
      </c>
      <c r="F26" s="279"/>
      <c r="G26" s="43"/>
      <c r="H26" s="376"/>
      <c r="I26" s="372" t="s">
        <v>110</v>
      </c>
      <c r="J26" s="372"/>
      <c r="K26" s="372"/>
      <c r="L26" s="279" t="s">
        <v>83</v>
      </c>
      <c r="M26" s="279"/>
    </row>
    <row r="27" spans="1:20" x14ac:dyDescent="0.3">
      <c r="A27" s="407"/>
      <c r="B27" s="372" t="s">
        <v>109</v>
      </c>
      <c r="C27" s="372"/>
      <c r="D27" s="372"/>
      <c r="E27" s="279" t="s">
        <v>68</v>
      </c>
      <c r="F27" s="279"/>
      <c r="G27" s="43"/>
      <c r="H27" s="376"/>
      <c r="I27" s="372" t="s">
        <v>109</v>
      </c>
      <c r="J27" s="372"/>
      <c r="K27" s="372"/>
      <c r="L27" s="279" t="s">
        <v>68</v>
      </c>
      <c r="M27" s="279"/>
    </row>
    <row r="28" spans="1:20" x14ac:dyDescent="0.3">
      <c r="A28" s="408"/>
      <c r="B28" s="372" t="s">
        <v>108</v>
      </c>
      <c r="C28" s="372"/>
      <c r="D28" s="372"/>
      <c r="E28" s="279" t="s">
        <v>70</v>
      </c>
      <c r="F28" s="279"/>
      <c r="G28" s="43"/>
      <c r="H28" s="377"/>
      <c r="I28" s="372" t="s">
        <v>108</v>
      </c>
      <c r="J28" s="372"/>
      <c r="K28" s="372"/>
      <c r="L28" s="279" t="s">
        <v>70</v>
      </c>
      <c r="M28" s="279"/>
    </row>
    <row r="30" spans="1:20" x14ac:dyDescent="0.3">
      <c r="A30" s="269" t="s">
        <v>77</v>
      </c>
      <c r="B30" s="269"/>
      <c r="C30" s="269"/>
      <c r="D30" s="269"/>
      <c r="E30" s="269"/>
      <c r="F30" s="222">
        <v>0</v>
      </c>
      <c r="G30" s="43"/>
      <c r="H30" s="269" t="s">
        <v>77</v>
      </c>
      <c r="I30" s="269"/>
      <c r="J30" s="269"/>
      <c r="K30" s="269"/>
      <c r="L30" s="269"/>
      <c r="M30" s="222">
        <v>0</v>
      </c>
    </row>
    <row r="31" spans="1:20" x14ac:dyDescent="0.3">
      <c r="A31" s="269" t="s">
        <v>89</v>
      </c>
      <c r="B31" s="269"/>
      <c r="C31" s="269"/>
      <c r="D31" s="269"/>
      <c r="E31" s="269"/>
      <c r="F31" s="223">
        <v>1.5</v>
      </c>
      <c r="G31" s="43"/>
      <c r="H31" s="269" t="s">
        <v>89</v>
      </c>
      <c r="I31" s="269"/>
      <c r="J31" s="269"/>
      <c r="K31" s="269"/>
      <c r="L31" s="269"/>
      <c r="M31" s="223">
        <v>1.5</v>
      </c>
    </row>
    <row r="32" spans="1:20" ht="14.5" thickBot="1" x14ac:dyDescent="0.35"/>
    <row r="33" spans="1:20" ht="14.5" thickBot="1" x14ac:dyDescent="0.35">
      <c r="A33" s="340" t="s">
        <v>105</v>
      </c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2"/>
    </row>
    <row r="35" spans="1:20" ht="59.5" customHeight="1" x14ac:dyDescent="0.3">
      <c r="A35" s="369" t="s">
        <v>107</v>
      </c>
      <c r="B35" s="379" t="s">
        <v>146</v>
      </c>
      <c r="C35" s="380"/>
      <c r="D35" s="380"/>
      <c r="E35" s="380"/>
      <c r="F35" s="381"/>
      <c r="G35" s="43"/>
      <c r="H35" s="398" t="s">
        <v>106</v>
      </c>
      <c r="I35" s="399" t="s">
        <v>145</v>
      </c>
      <c r="J35" s="399"/>
      <c r="K35" s="399"/>
      <c r="L35" s="399"/>
      <c r="M35" s="399"/>
    </row>
    <row r="36" spans="1:20" x14ac:dyDescent="0.3">
      <c r="A36" s="369"/>
      <c r="B36" s="382" t="s">
        <v>102</v>
      </c>
      <c r="C36" s="383"/>
      <c r="D36" s="384"/>
      <c r="E36" s="284" t="s">
        <v>67</v>
      </c>
      <c r="F36" s="286"/>
      <c r="G36" s="43"/>
      <c r="H36" s="398"/>
      <c r="I36" s="400" t="s">
        <v>161</v>
      </c>
      <c r="J36" s="401"/>
      <c r="K36" s="402"/>
      <c r="L36" s="395" t="s">
        <v>67</v>
      </c>
      <c r="M36" s="396"/>
    </row>
    <row r="37" spans="1:20" x14ac:dyDescent="0.3">
      <c r="A37" s="369"/>
      <c r="B37" s="382" t="s">
        <v>100</v>
      </c>
      <c r="C37" s="383"/>
      <c r="D37" s="384"/>
      <c r="E37" s="284" t="s">
        <v>66</v>
      </c>
      <c r="F37" s="286"/>
      <c r="G37" s="43"/>
      <c r="H37" s="398"/>
      <c r="I37" s="385" t="s">
        <v>160</v>
      </c>
      <c r="J37" s="385"/>
      <c r="K37" s="385"/>
      <c r="L37" s="394" t="s">
        <v>72</v>
      </c>
      <c r="M37" s="394"/>
    </row>
    <row r="38" spans="1:20" x14ac:dyDescent="0.3">
      <c r="A38" s="369"/>
      <c r="B38" s="382" t="s">
        <v>98</v>
      </c>
      <c r="C38" s="383"/>
      <c r="D38" s="384"/>
      <c r="E38" s="284" t="s">
        <v>83</v>
      </c>
      <c r="F38" s="286"/>
      <c r="G38" s="43"/>
      <c r="H38" s="398"/>
      <c r="I38" s="382" t="s">
        <v>141</v>
      </c>
      <c r="J38" s="383"/>
      <c r="K38" s="384"/>
      <c r="L38" s="395" t="s">
        <v>66</v>
      </c>
      <c r="M38" s="396"/>
    </row>
    <row r="39" spans="1:20" x14ac:dyDescent="0.3">
      <c r="A39" s="369"/>
      <c r="B39" s="382" t="s">
        <v>96</v>
      </c>
      <c r="C39" s="383"/>
      <c r="D39" s="384"/>
      <c r="E39" s="284" t="s">
        <v>68</v>
      </c>
      <c r="F39" s="286"/>
      <c r="G39" s="43"/>
      <c r="H39" s="398"/>
      <c r="I39" s="385" t="s">
        <v>142</v>
      </c>
      <c r="J39" s="385"/>
      <c r="K39" s="385"/>
      <c r="L39" s="394" t="s">
        <v>64</v>
      </c>
      <c r="M39" s="394"/>
    </row>
    <row r="40" spans="1:20" x14ac:dyDescent="0.3">
      <c r="A40" s="369"/>
      <c r="B40" s="387">
        <v>1</v>
      </c>
      <c r="C40" s="388"/>
      <c r="D40" s="389"/>
      <c r="E40" s="284" t="s">
        <v>70</v>
      </c>
      <c r="F40" s="286"/>
      <c r="G40" s="43"/>
      <c r="H40" s="398"/>
      <c r="I40" s="385" t="s">
        <v>143</v>
      </c>
      <c r="J40" s="385"/>
      <c r="K40" s="385"/>
      <c r="L40" s="394" t="s">
        <v>83</v>
      </c>
      <c r="M40" s="394"/>
    </row>
    <row r="41" spans="1:20" x14ac:dyDescent="0.3">
      <c r="A41" s="234" t="s">
        <v>59</v>
      </c>
      <c r="B41" s="236" t="s">
        <v>140</v>
      </c>
      <c r="C41" s="237"/>
      <c r="D41" s="238"/>
      <c r="E41" s="280" t="s">
        <v>66</v>
      </c>
      <c r="F41" s="282"/>
      <c r="G41" s="43"/>
      <c r="H41" s="235" t="s">
        <v>59</v>
      </c>
      <c r="I41" s="397" t="s">
        <v>144</v>
      </c>
      <c r="J41" s="397"/>
      <c r="K41" s="397"/>
      <c r="L41" s="386" t="s">
        <v>66</v>
      </c>
      <c r="M41" s="386"/>
    </row>
    <row r="42" spans="1:20" x14ac:dyDescent="0.3">
      <c r="H42" s="112"/>
      <c r="I42" s="112"/>
      <c r="J42" s="112"/>
      <c r="K42" s="112"/>
      <c r="L42" s="112"/>
      <c r="M42" s="112"/>
    </row>
    <row r="43" spans="1:20" x14ac:dyDescent="0.3">
      <c r="A43" s="269" t="s">
        <v>77</v>
      </c>
      <c r="B43" s="269"/>
      <c r="C43" s="269"/>
      <c r="D43" s="269"/>
      <c r="E43" s="269"/>
      <c r="F43" s="222">
        <v>0</v>
      </c>
      <c r="G43" s="43"/>
      <c r="H43" s="269" t="s">
        <v>77</v>
      </c>
      <c r="I43" s="269"/>
      <c r="J43" s="269"/>
      <c r="K43" s="269"/>
      <c r="L43" s="269"/>
      <c r="M43" s="222">
        <v>0</v>
      </c>
    </row>
    <row r="44" spans="1:20" x14ac:dyDescent="0.3">
      <c r="A44" s="269" t="s">
        <v>89</v>
      </c>
      <c r="B44" s="269"/>
      <c r="C44" s="269"/>
      <c r="D44" s="269"/>
      <c r="E44" s="269"/>
      <c r="F44" s="223">
        <v>2</v>
      </c>
      <c r="G44" s="43"/>
      <c r="H44" s="269" t="s">
        <v>89</v>
      </c>
      <c r="I44" s="269"/>
      <c r="J44" s="269"/>
      <c r="K44" s="269"/>
      <c r="L44" s="269"/>
      <c r="M44" s="223">
        <v>1.5</v>
      </c>
    </row>
    <row r="45" spans="1:20" ht="14.5" thickBot="1" x14ac:dyDescent="0.35">
      <c r="H45" s="112"/>
      <c r="I45" s="112"/>
      <c r="J45" s="112"/>
      <c r="K45" s="112"/>
      <c r="L45" s="112"/>
      <c r="M45" s="112"/>
    </row>
    <row r="46" spans="1:20" ht="14.5" thickBot="1" x14ac:dyDescent="0.35">
      <c r="A46" s="340" t="s">
        <v>139</v>
      </c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2"/>
    </row>
    <row r="47" spans="1:20" x14ac:dyDescent="0.3">
      <c r="H47" s="112"/>
      <c r="I47" s="112"/>
      <c r="J47" s="112"/>
      <c r="K47" s="112"/>
      <c r="L47" s="112"/>
      <c r="M47" s="112"/>
    </row>
    <row r="48" spans="1:20" ht="27" customHeight="1" x14ac:dyDescent="0.3">
      <c r="A48" s="369" t="s">
        <v>104</v>
      </c>
      <c r="B48" s="390" t="s">
        <v>103</v>
      </c>
      <c r="C48" s="390"/>
      <c r="D48" s="390"/>
      <c r="E48" s="390"/>
      <c r="F48" s="390"/>
      <c r="H48" s="112"/>
      <c r="I48" s="112"/>
      <c r="J48" s="112"/>
      <c r="K48" s="112"/>
      <c r="L48" s="112"/>
      <c r="M48" s="112"/>
    </row>
    <row r="49" spans="1:19" x14ac:dyDescent="0.3">
      <c r="A49" s="369"/>
      <c r="B49" s="372" t="s">
        <v>101</v>
      </c>
      <c r="C49" s="372"/>
      <c r="D49" s="372"/>
      <c r="E49" s="279" t="s">
        <v>67</v>
      </c>
      <c r="F49" s="279"/>
      <c r="H49" s="112"/>
      <c r="I49" s="112"/>
      <c r="J49" s="112"/>
      <c r="K49" s="112"/>
      <c r="L49" s="112"/>
      <c r="M49" s="112"/>
    </row>
    <row r="50" spans="1:19" x14ac:dyDescent="0.3">
      <c r="A50" s="369"/>
      <c r="B50" s="372" t="s">
        <v>159</v>
      </c>
      <c r="C50" s="372"/>
      <c r="D50" s="372"/>
      <c r="E50" s="279" t="s">
        <v>99</v>
      </c>
      <c r="F50" s="279"/>
      <c r="H50" s="112"/>
      <c r="I50" s="112"/>
      <c r="J50" s="112"/>
      <c r="K50" s="112"/>
      <c r="L50" s="112"/>
      <c r="M50" s="112"/>
    </row>
    <row r="51" spans="1:19" x14ac:dyDescent="0.3">
      <c r="A51" s="369"/>
      <c r="B51" s="372" t="s">
        <v>158</v>
      </c>
      <c r="C51" s="372"/>
      <c r="D51" s="372"/>
      <c r="E51" s="279" t="s">
        <v>97</v>
      </c>
      <c r="F51" s="279"/>
      <c r="H51" s="112"/>
      <c r="I51" s="112"/>
      <c r="J51" s="112"/>
      <c r="K51" s="112"/>
      <c r="L51" s="112"/>
      <c r="M51" s="112"/>
    </row>
    <row r="52" spans="1:19" x14ac:dyDescent="0.3">
      <c r="A52" s="369"/>
      <c r="B52" s="372" t="s">
        <v>157</v>
      </c>
      <c r="C52" s="372"/>
      <c r="D52" s="372"/>
      <c r="E52" s="279" t="s">
        <v>95</v>
      </c>
      <c r="F52" s="279"/>
      <c r="H52" s="112"/>
      <c r="I52" s="112"/>
      <c r="J52" s="112"/>
      <c r="K52" s="112"/>
      <c r="L52" s="112"/>
      <c r="M52" s="112"/>
    </row>
    <row r="53" spans="1:19" x14ac:dyDescent="0.3">
      <c r="A53" s="369"/>
      <c r="B53" s="372" t="s">
        <v>156</v>
      </c>
      <c r="C53" s="372"/>
      <c r="D53" s="372"/>
      <c r="E53" s="279" t="s">
        <v>94</v>
      </c>
      <c r="F53" s="279"/>
    </row>
    <row r="54" spans="1:19" x14ac:dyDescent="0.3">
      <c r="A54" s="369"/>
      <c r="B54" s="372" t="s">
        <v>155</v>
      </c>
      <c r="C54" s="372"/>
      <c r="D54" s="372"/>
      <c r="E54" s="279" t="s">
        <v>66</v>
      </c>
      <c r="F54" s="279"/>
    </row>
    <row r="55" spans="1:19" x14ac:dyDescent="0.3">
      <c r="A55" s="369"/>
      <c r="B55" s="372" t="s">
        <v>154</v>
      </c>
      <c r="C55" s="372"/>
      <c r="D55" s="372"/>
      <c r="E55" s="279" t="s">
        <v>93</v>
      </c>
      <c r="F55" s="279"/>
    </row>
    <row r="56" spans="1:19" x14ac:dyDescent="0.3">
      <c r="A56" s="369"/>
      <c r="B56" s="372" t="s">
        <v>153</v>
      </c>
      <c r="C56" s="372"/>
      <c r="D56" s="372"/>
      <c r="E56" s="279" t="s">
        <v>92</v>
      </c>
      <c r="F56" s="279"/>
    </row>
    <row r="57" spans="1:19" x14ac:dyDescent="0.3">
      <c r="A57" s="369"/>
      <c r="B57" s="372" t="s">
        <v>152</v>
      </c>
      <c r="C57" s="372"/>
      <c r="D57" s="372"/>
      <c r="E57" s="279" t="s">
        <v>91</v>
      </c>
      <c r="F57" s="279"/>
      <c r="H57" s="239"/>
      <c r="I57" s="34"/>
      <c r="J57" s="34"/>
      <c r="K57" s="34"/>
      <c r="L57" s="34"/>
      <c r="M57" s="34"/>
      <c r="O57" s="393"/>
      <c r="P57" s="393"/>
      <c r="Q57" s="393"/>
      <c r="R57" s="393"/>
      <c r="S57" s="393"/>
    </row>
    <row r="58" spans="1:19" x14ac:dyDescent="0.3">
      <c r="A58" s="369"/>
      <c r="B58" s="372" t="s">
        <v>151</v>
      </c>
      <c r="C58" s="372"/>
      <c r="D58" s="372"/>
      <c r="E58" s="279" t="s">
        <v>90</v>
      </c>
      <c r="F58" s="279"/>
      <c r="H58" s="240"/>
      <c r="I58" s="240"/>
      <c r="J58" s="240"/>
      <c r="K58" s="240"/>
      <c r="L58" s="240"/>
      <c r="M58" s="240"/>
      <c r="O58" s="392"/>
      <c r="P58" s="392"/>
      <c r="Q58" s="392"/>
      <c r="R58" s="392"/>
      <c r="S58" s="392"/>
    </row>
    <row r="59" spans="1:19" x14ac:dyDescent="0.3">
      <c r="A59" s="369"/>
      <c r="B59" s="372" t="s">
        <v>150</v>
      </c>
      <c r="C59" s="372"/>
      <c r="D59" s="372"/>
      <c r="E59" s="279" t="s">
        <v>83</v>
      </c>
      <c r="F59" s="279"/>
      <c r="H59" s="240"/>
      <c r="I59" s="240"/>
      <c r="J59" s="240"/>
      <c r="K59" s="240"/>
      <c r="L59" s="240"/>
      <c r="M59" s="240"/>
      <c r="O59" s="392"/>
      <c r="P59" s="392"/>
      <c r="Q59" s="392"/>
      <c r="R59" s="392"/>
      <c r="S59" s="392"/>
    </row>
    <row r="60" spans="1:19" x14ac:dyDescent="0.3">
      <c r="A60" s="369"/>
      <c r="B60" s="372" t="s">
        <v>149</v>
      </c>
      <c r="C60" s="372"/>
      <c r="D60" s="372"/>
      <c r="E60" s="279" t="s">
        <v>68</v>
      </c>
      <c r="F60" s="279"/>
      <c r="H60" s="240"/>
      <c r="I60" s="240"/>
      <c r="J60" s="240"/>
      <c r="K60" s="240"/>
      <c r="L60" s="240"/>
      <c r="M60" s="240"/>
      <c r="O60" s="392"/>
      <c r="P60" s="392"/>
      <c r="Q60" s="392"/>
      <c r="R60" s="392"/>
      <c r="S60" s="392"/>
    </row>
    <row r="61" spans="1:19" x14ac:dyDescent="0.3">
      <c r="A61" s="369"/>
      <c r="B61" s="372" t="s">
        <v>323</v>
      </c>
      <c r="C61" s="372"/>
      <c r="D61" s="372"/>
      <c r="E61" s="279" t="s">
        <v>87</v>
      </c>
      <c r="F61" s="279"/>
      <c r="H61" s="240"/>
      <c r="I61" s="240"/>
      <c r="J61" s="240"/>
      <c r="K61" s="240"/>
      <c r="L61" s="240"/>
      <c r="M61" s="240"/>
      <c r="O61" s="392"/>
      <c r="P61" s="392"/>
      <c r="Q61" s="392"/>
      <c r="R61" s="392"/>
      <c r="S61" s="392"/>
    </row>
    <row r="62" spans="1:19" ht="26.5" customHeight="1" x14ac:dyDescent="0.3">
      <c r="A62" s="369" t="s">
        <v>59</v>
      </c>
      <c r="B62" s="411" t="s">
        <v>147</v>
      </c>
      <c r="C62" s="412"/>
      <c r="D62" s="413"/>
      <c r="E62" s="414" t="s">
        <v>72</v>
      </c>
      <c r="F62" s="415"/>
      <c r="H62" s="242"/>
      <c r="I62" s="242"/>
      <c r="J62" s="242"/>
      <c r="K62" s="242"/>
      <c r="L62" s="242"/>
      <c r="M62" s="242"/>
      <c r="O62" s="410"/>
      <c r="P62" s="410"/>
      <c r="Q62" s="410"/>
      <c r="R62" s="410"/>
      <c r="S62" s="410"/>
    </row>
    <row r="63" spans="1:19" ht="29.5" customHeight="1" x14ac:dyDescent="0.3">
      <c r="A63" s="369"/>
      <c r="B63" s="391" t="s">
        <v>148</v>
      </c>
      <c r="C63" s="391"/>
      <c r="D63" s="391"/>
      <c r="E63" s="386" t="s">
        <v>66</v>
      </c>
      <c r="F63" s="386"/>
    </row>
    <row r="64" spans="1:19" ht="18.5" customHeight="1" x14ac:dyDescent="0.4">
      <c r="A64" s="33"/>
      <c r="B64" s="33"/>
      <c r="C64" s="33"/>
      <c r="D64" s="33"/>
      <c r="E64" s="33"/>
      <c r="F64" s="33"/>
    </row>
    <row r="65" spans="1:20" ht="14.5" customHeight="1" x14ac:dyDescent="0.3">
      <c r="A65" s="269" t="s">
        <v>77</v>
      </c>
      <c r="B65" s="269"/>
      <c r="C65" s="269"/>
      <c r="D65" s="269"/>
      <c r="E65" s="269"/>
      <c r="F65" s="222">
        <v>0</v>
      </c>
    </row>
    <row r="66" spans="1:20" ht="14.5" customHeight="1" x14ac:dyDescent="0.3">
      <c r="A66" s="269" t="s">
        <v>89</v>
      </c>
      <c r="B66" s="269"/>
      <c r="C66" s="269"/>
      <c r="D66" s="269"/>
      <c r="E66" s="269"/>
      <c r="F66" s="223">
        <v>2.5</v>
      </c>
      <c r="H66" s="34"/>
      <c r="I66" s="34"/>
      <c r="J66" s="34"/>
      <c r="K66" s="34"/>
      <c r="L66" s="34"/>
      <c r="M66" s="34"/>
      <c r="O66" s="34"/>
      <c r="P66" s="34"/>
      <c r="Q66" s="34"/>
      <c r="R66" s="34"/>
      <c r="S66" s="34"/>
    </row>
    <row r="67" spans="1:20" ht="14.5" customHeight="1" thickBot="1" x14ac:dyDescent="0.45">
      <c r="A67" s="33"/>
      <c r="B67" s="33"/>
      <c r="C67" s="33"/>
      <c r="D67" s="33"/>
      <c r="E67" s="33"/>
      <c r="F67" s="33"/>
    </row>
    <row r="68" spans="1:20" ht="14.5" customHeight="1" thickBot="1" x14ac:dyDescent="0.35">
      <c r="A68" s="331" t="s">
        <v>163</v>
      </c>
      <c r="B68" s="332"/>
      <c r="C68" s="332"/>
      <c r="D68" s="332"/>
      <c r="E68" s="332"/>
      <c r="F68" s="332"/>
      <c r="G68" s="332"/>
      <c r="H68" s="332"/>
      <c r="I68" s="332"/>
      <c r="J68" s="332"/>
      <c r="K68" s="332"/>
      <c r="L68" s="332"/>
      <c r="M68" s="332"/>
      <c r="N68" s="332"/>
      <c r="O68" s="332"/>
      <c r="P68" s="332"/>
      <c r="Q68" s="332"/>
      <c r="R68" s="332"/>
      <c r="S68" s="332"/>
      <c r="T68" s="333"/>
    </row>
    <row r="69" spans="1:20" ht="14.5" customHeight="1" thickBot="1" x14ac:dyDescent="0.45">
      <c r="A69" s="33"/>
      <c r="B69" s="33"/>
      <c r="C69" s="33"/>
      <c r="D69" s="33"/>
      <c r="E69" s="33"/>
      <c r="F69" s="33"/>
    </row>
    <row r="70" spans="1:20" ht="14.5" customHeight="1" thickBot="1" x14ac:dyDescent="0.35">
      <c r="A70" s="334" t="s">
        <v>164</v>
      </c>
      <c r="B70" s="335"/>
      <c r="C70" s="335"/>
      <c r="D70" s="336"/>
      <c r="E70" s="337">
        <v>0</v>
      </c>
      <c r="F70" s="338"/>
      <c r="H70" s="409"/>
      <c r="I70" s="409"/>
      <c r="J70" s="409"/>
      <c r="K70" s="409"/>
      <c r="L70" s="409"/>
      <c r="M70" s="409"/>
      <c r="O70" s="409"/>
      <c r="P70" s="409"/>
      <c r="Q70" s="409"/>
      <c r="R70" s="409"/>
      <c r="S70" s="409"/>
    </row>
    <row r="71" spans="1:20" ht="14.5" thickBot="1" x14ac:dyDescent="0.35">
      <c r="A71" s="319" t="s">
        <v>165</v>
      </c>
      <c r="B71" s="320"/>
      <c r="C71" s="320"/>
      <c r="D71" s="321"/>
      <c r="E71" s="322">
        <f>F17+M17+T17+F31+M31+F44+M44</f>
        <v>11.75</v>
      </c>
      <c r="F71" s="323"/>
    </row>
    <row r="72" spans="1:20" ht="14.5" thickBot="1" x14ac:dyDescent="0.35">
      <c r="A72" s="43"/>
      <c r="B72" s="43"/>
      <c r="C72" s="43"/>
      <c r="D72" s="43"/>
      <c r="E72" s="43"/>
      <c r="F72" s="43"/>
    </row>
    <row r="73" spans="1:20" ht="14.5" thickBot="1" x14ac:dyDescent="0.35">
      <c r="A73" s="324" t="s">
        <v>166</v>
      </c>
      <c r="B73" s="325"/>
      <c r="C73" s="326"/>
      <c r="D73" s="231" t="s">
        <v>167</v>
      </c>
      <c r="E73" s="327" t="s">
        <v>168</v>
      </c>
      <c r="F73" s="328"/>
    </row>
    <row r="74" spans="1:20" ht="14.5" thickBot="1" x14ac:dyDescent="0.35">
      <c r="A74" s="312" t="s">
        <v>303</v>
      </c>
      <c r="B74" s="313"/>
      <c r="C74" s="314"/>
      <c r="D74" s="227" t="s">
        <v>257</v>
      </c>
      <c r="E74" s="329"/>
      <c r="F74" s="330"/>
    </row>
    <row r="75" spans="1:20" ht="14.5" thickBot="1" x14ac:dyDescent="0.35">
      <c r="A75" s="307" t="s">
        <v>304</v>
      </c>
      <c r="B75" s="308"/>
      <c r="C75" s="309"/>
      <c r="D75" s="228" t="s">
        <v>261</v>
      </c>
      <c r="E75" s="310"/>
      <c r="F75" s="311"/>
    </row>
    <row r="76" spans="1:20" ht="14.5" thickBot="1" x14ac:dyDescent="0.35">
      <c r="A76" s="312" t="s">
        <v>305</v>
      </c>
      <c r="B76" s="313"/>
      <c r="C76" s="314"/>
      <c r="D76" s="229" t="s">
        <v>260</v>
      </c>
      <c r="E76" s="315"/>
      <c r="F76" s="316"/>
    </row>
    <row r="77" spans="1:20" ht="14.5" thickBot="1" x14ac:dyDescent="0.35">
      <c r="A77" s="307" t="s">
        <v>324</v>
      </c>
      <c r="B77" s="308"/>
      <c r="C77" s="309"/>
      <c r="D77" s="228" t="s">
        <v>259</v>
      </c>
      <c r="E77" s="317"/>
      <c r="F77" s="318"/>
    </row>
    <row r="78" spans="1:20" ht="14.5" thickBot="1" x14ac:dyDescent="0.35">
      <c r="A78" s="298" t="s">
        <v>306</v>
      </c>
      <c r="B78" s="299"/>
      <c r="C78" s="300"/>
      <c r="D78" s="230" t="s">
        <v>258</v>
      </c>
      <c r="E78" s="301"/>
      <c r="F78" s="302"/>
    </row>
  </sheetData>
  <mergeCells count="165">
    <mergeCell ref="O61:S61"/>
    <mergeCell ref="A68:T68"/>
    <mergeCell ref="A76:C76"/>
    <mergeCell ref="A77:C77"/>
    <mergeCell ref="A78:C78"/>
    <mergeCell ref="E73:F73"/>
    <mergeCell ref="E74:F74"/>
    <mergeCell ref="E75:F75"/>
    <mergeCell ref="E76:F76"/>
    <mergeCell ref="E77:F77"/>
    <mergeCell ref="E78:F78"/>
    <mergeCell ref="A73:C73"/>
    <mergeCell ref="A74:C74"/>
    <mergeCell ref="A75:C75"/>
    <mergeCell ref="E70:F70"/>
    <mergeCell ref="E71:F71"/>
    <mergeCell ref="A70:D70"/>
    <mergeCell ref="A71:D71"/>
    <mergeCell ref="H70:M70"/>
    <mergeCell ref="O70:S70"/>
    <mergeCell ref="O62:S62"/>
    <mergeCell ref="A62:A63"/>
    <mergeCell ref="B62:D62"/>
    <mergeCell ref="E62:F62"/>
    <mergeCell ref="A1:T1"/>
    <mergeCell ref="A3:T3"/>
    <mergeCell ref="A19:T19"/>
    <mergeCell ref="A33:T33"/>
    <mergeCell ref="O16:S16"/>
    <mergeCell ref="O17:S17"/>
    <mergeCell ref="H30:L30"/>
    <mergeCell ref="H31:L31"/>
    <mergeCell ref="I27:K27"/>
    <mergeCell ref="L27:M27"/>
    <mergeCell ref="B28:D28"/>
    <mergeCell ref="E28:F28"/>
    <mergeCell ref="I28:K28"/>
    <mergeCell ref="L28:M28"/>
    <mergeCell ref="B25:D25"/>
    <mergeCell ref="E25:F25"/>
    <mergeCell ref="I25:K25"/>
    <mergeCell ref="L25:M25"/>
    <mergeCell ref="B26:D26"/>
    <mergeCell ref="E26:F26"/>
    <mergeCell ref="Q14:T14"/>
    <mergeCell ref="A21:A28"/>
    <mergeCell ref="A30:E30"/>
    <mergeCell ref="A31:E31"/>
    <mergeCell ref="L38:M38"/>
    <mergeCell ref="B38:D38"/>
    <mergeCell ref="I40:K40"/>
    <mergeCell ref="I41:K41"/>
    <mergeCell ref="H35:H40"/>
    <mergeCell ref="I35:M35"/>
    <mergeCell ref="I36:K36"/>
    <mergeCell ref="L36:M36"/>
    <mergeCell ref="I37:K37"/>
    <mergeCell ref="L37:M37"/>
    <mergeCell ref="L40:M40"/>
    <mergeCell ref="E63:F63"/>
    <mergeCell ref="B61:D61"/>
    <mergeCell ref="E61:F61"/>
    <mergeCell ref="A65:E65"/>
    <mergeCell ref="A66:E66"/>
    <mergeCell ref="B63:D63"/>
    <mergeCell ref="B59:D59"/>
    <mergeCell ref="E59:F59"/>
    <mergeCell ref="O59:S59"/>
    <mergeCell ref="B60:D60"/>
    <mergeCell ref="E60:F60"/>
    <mergeCell ref="O60:S60"/>
    <mergeCell ref="A48:A61"/>
    <mergeCell ref="B57:D57"/>
    <mergeCell ref="E57:F57"/>
    <mergeCell ref="O57:S57"/>
    <mergeCell ref="B58:D58"/>
    <mergeCell ref="E58:F58"/>
    <mergeCell ref="O58:S58"/>
    <mergeCell ref="B54:D54"/>
    <mergeCell ref="E54:F54"/>
    <mergeCell ref="B55:D55"/>
    <mergeCell ref="E55:F55"/>
    <mergeCell ref="B56:D56"/>
    <mergeCell ref="E56:F56"/>
    <mergeCell ref="E50:F50"/>
    <mergeCell ref="B51:D51"/>
    <mergeCell ref="A44:E44"/>
    <mergeCell ref="H43:L43"/>
    <mergeCell ref="H44:L44"/>
    <mergeCell ref="E38:F38"/>
    <mergeCell ref="E39:F39"/>
    <mergeCell ref="A46:T46"/>
    <mergeCell ref="E41:F41"/>
    <mergeCell ref="L41:M41"/>
    <mergeCell ref="E51:F51"/>
    <mergeCell ref="B52:D52"/>
    <mergeCell ref="E52:F52"/>
    <mergeCell ref="B53:D53"/>
    <mergeCell ref="E53:F53"/>
    <mergeCell ref="B40:D40"/>
    <mergeCell ref="B48:F48"/>
    <mergeCell ref="B49:D49"/>
    <mergeCell ref="E49:F49"/>
    <mergeCell ref="B50:D50"/>
    <mergeCell ref="A43:E43"/>
    <mergeCell ref="B39:D39"/>
    <mergeCell ref="L39:M39"/>
    <mergeCell ref="I22:K22"/>
    <mergeCell ref="A35:A40"/>
    <mergeCell ref="B35:F35"/>
    <mergeCell ref="B27:D27"/>
    <mergeCell ref="E27:F27"/>
    <mergeCell ref="E40:F40"/>
    <mergeCell ref="E37:F37"/>
    <mergeCell ref="E36:F36"/>
    <mergeCell ref="B36:D36"/>
    <mergeCell ref="B37:D37"/>
    <mergeCell ref="I39:K39"/>
    <mergeCell ref="I38:K38"/>
    <mergeCell ref="A7:A14"/>
    <mergeCell ref="B7:F7"/>
    <mergeCell ref="I26:K26"/>
    <mergeCell ref="L26:M26"/>
    <mergeCell ref="L22:M22"/>
    <mergeCell ref="B23:D23"/>
    <mergeCell ref="E23:F23"/>
    <mergeCell ref="I23:K23"/>
    <mergeCell ref="L23:M23"/>
    <mergeCell ref="B24:D24"/>
    <mergeCell ref="E24:F24"/>
    <mergeCell ref="I24:K24"/>
    <mergeCell ref="L24:M24"/>
    <mergeCell ref="C12:F12"/>
    <mergeCell ref="J12:M12"/>
    <mergeCell ref="A16:E16"/>
    <mergeCell ref="A17:E17"/>
    <mergeCell ref="H16:L16"/>
    <mergeCell ref="H17:L17"/>
    <mergeCell ref="B21:F21"/>
    <mergeCell ref="H21:H28"/>
    <mergeCell ref="I21:M21"/>
    <mergeCell ref="B22:D22"/>
    <mergeCell ref="E22:F22"/>
    <mergeCell ref="Q12:T12"/>
    <mergeCell ref="C13:F13"/>
    <mergeCell ref="J13:M13"/>
    <mergeCell ref="Q13:T13"/>
    <mergeCell ref="J9:M9"/>
    <mergeCell ref="Q9:T9"/>
    <mergeCell ref="C10:F10"/>
    <mergeCell ref="J10:M10"/>
    <mergeCell ref="Q10:T10"/>
    <mergeCell ref="C11:F11"/>
    <mergeCell ref="J11:M11"/>
    <mergeCell ref="Q11:T11"/>
    <mergeCell ref="H7:H14"/>
    <mergeCell ref="I7:M7"/>
    <mergeCell ref="O7:O14"/>
    <mergeCell ref="P7:T7"/>
    <mergeCell ref="C8:F8"/>
    <mergeCell ref="J8:M8"/>
    <mergeCell ref="Q8:T8"/>
    <mergeCell ref="C9:F9"/>
    <mergeCell ref="C14:F14"/>
    <mergeCell ref="J14:M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31EED-EA3D-4F1D-82B1-A46DA9B58C47}">
  <sheetPr>
    <tabColor rgb="FFEAF3FA"/>
  </sheetPr>
  <dimension ref="A1:AJ64"/>
  <sheetViews>
    <sheetView topLeftCell="A46" zoomScale="66" zoomScaleNormal="70" workbookViewId="0">
      <selection activeCell="B60" sqref="B60:P60"/>
    </sheetView>
  </sheetViews>
  <sheetFormatPr defaultRowHeight="14.5" x14ac:dyDescent="0.35"/>
  <cols>
    <col min="1" max="1" width="23.6328125" customWidth="1"/>
    <col min="2" max="8" width="12.81640625" customWidth="1"/>
    <col min="9" max="9" width="12.81640625" style="1" customWidth="1"/>
    <col min="10" max="11" width="12.81640625" customWidth="1"/>
    <col min="12" max="12" width="12.7265625" customWidth="1"/>
    <col min="13" max="19" width="12.81640625" customWidth="1"/>
    <col min="20" max="21" width="12.81640625" style="1" customWidth="1"/>
    <col min="22" max="22" width="12.81640625" customWidth="1"/>
    <col min="23" max="23" width="12.7265625" customWidth="1"/>
    <col min="24" max="29" width="12.81640625" customWidth="1"/>
    <col min="30" max="30" width="12.6328125" customWidth="1"/>
    <col min="31" max="31" width="12.7265625" customWidth="1"/>
    <col min="32" max="32" width="12.81640625" customWidth="1"/>
    <col min="33" max="33" width="22.81640625" style="1" customWidth="1"/>
    <col min="34" max="34" width="22.7265625" style="11" customWidth="1"/>
    <col min="35" max="35" width="22.7265625" customWidth="1"/>
    <col min="36" max="36" width="116.26953125" style="20" customWidth="1"/>
  </cols>
  <sheetData>
    <row r="1" spans="1:36" ht="18" x14ac:dyDescent="0.4">
      <c r="A1" s="33" t="s">
        <v>276</v>
      </c>
    </row>
    <row r="2" spans="1:36" ht="15" thickBot="1" x14ac:dyDescent="0.4"/>
    <row r="3" spans="1:36" ht="15" customHeight="1" thickBot="1" x14ac:dyDescent="0.4">
      <c r="A3" s="179"/>
      <c r="B3" s="425" t="s">
        <v>51</v>
      </c>
      <c r="C3" s="426"/>
      <c r="D3" s="426"/>
      <c r="E3" s="426"/>
      <c r="F3" s="426"/>
      <c r="G3" s="426"/>
      <c r="H3" s="427"/>
      <c r="I3" s="425" t="s">
        <v>49</v>
      </c>
      <c r="J3" s="427"/>
      <c r="K3" s="425" t="s">
        <v>58</v>
      </c>
      <c r="L3" s="426"/>
      <c r="M3" s="426"/>
      <c r="N3" s="426"/>
      <c r="O3" s="426"/>
      <c r="P3" s="427"/>
      <c r="Q3" s="425" t="s">
        <v>169</v>
      </c>
      <c r="R3" s="426"/>
      <c r="S3" s="426"/>
      <c r="T3" s="426"/>
      <c r="U3" s="426"/>
      <c r="V3" s="428" t="s">
        <v>129</v>
      </c>
      <c r="W3" s="429"/>
      <c r="X3" s="429"/>
      <c r="Y3" s="430"/>
      <c r="Z3" s="431"/>
      <c r="AA3" s="425" t="s">
        <v>135</v>
      </c>
      <c r="AB3" s="426"/>
      <c r="AC3" s="426"/>
      <c r="AD3" s="426"/>
      <c r="AE3" s="426"/>
      <c r="AF3" s="427"/>
      <c r="AG3" s="432" t="s">
        <v>138</v>
      </c>
      <c r="AH3" s="432" t="s">
        <v>127</v>
      </c>
      <c r="AI3" s="357" t="s">
        <v>172</v>
      </c>
      <c r="AJ3" s="355" t="s">
        <v>248</v>
      </c>
    </row>
    <row r="4" spans="1:36" ht="28.5" customHeight="1" thickBot="1" x14ac:dyDescent="0.4">
      <c r="A4" s="180" t="s">
        <v>0</v>
      </c>
      <c r="B4" s="181" t="s">
        <v>2</v>
      </c>
      <c r="C4" s="182" t="s">
        <v>114</v>
      </c>
      <c r="D4" s="183" t="s">
        <v>1</v>
      </c>
      <c r="E4" s="182" t="s">
        <v>115</v>
      </c>
      <c r="F4" s="184" t="s">
        <v>3</v>
      </c>
      <c r="G4" s="182" t="s">
        <v>85</v>
      </c>
      <c r="H4" s="185" t="s">
        <v>4</v>
      </c>
      <c r="I4" s="186" t="s">
        <v>52</v>
      </c>
      <c r="J4" s="29" t="s">
        <v>53</v>
      </c>
      <c r="K4" s="181" t="s">
        <v>2</v>
      </c>
      <c r="L4" s="181" t="s">
        <v>121</v>
      </c>
      <c r="M4" s="29" t="s">
        <v>120</v>
      </c>
      <c r="N4" s="183" t="s">
        <v>116</v>
      </c>
      <c r="O4" s="183" t="s">
        <v>121</v>
      </c>
      <c r="P4" s="57" t="s">
        <v>119</v>
      </c>
      <c r="Q4" s="29" t="s">
        <v>131</v>
      </c>
      <c r="R4" s="29" t="s">
        <v>130</v>
      </c>
      <c r="S4" s="29" t="s">
        <v>127</v>
      </c>
      <c r="T4" s="29" t="s">
        <v>123</v>
      </c>
      <c r="U4" s="29" t="s">
        <v>59</v>
      </c>
      <c r="V4" s="29" t="s">
        <v>52</v>
      </c>
      <c r="W4" s="29" t="s">
        <v>131</v>
      </c>
      <c r="X4" s="29" t="s">
        <v>133</v>
      </c>
      <c r="Y4" s="29" t="s">
        <v>124</v>
      </c>
      <c r="Z4" s="29" t="s">
        <v>59</v>
      </c>
      <c r="AA4" s="29" t="s">
        <v>4</v>
      </c>
      <c r="AB4" s="29" t="s">
        <v>134</v>
      </c>
      <c r="AC4" s="29" t="s">
        <v>136</v>
      </c>
      <c r="AD4" s="29" t="s">
        <v>137</v>
      </c>
      <c r="AE4" s="29" t="s">
        <v>128</v>
      </c>
      <c r="AF4" s="29" t="s">
        <v>59</v>
      </c>
      <c r="AG4" s="433"/>
      <c r="AH4" s="434"/>
      <c r="AI4" s="358"/>
      <c r="AJ4" s="356"/>
    </row>
    <row r="5" spans="1:36" ht="15" thickBot="1" x14ac:dyDescent="0.4">
      <c r="A5" s="20"/>
      <c r="B5" s="110"/>
      <c r="C5" s="111"/>
      <c r="D5" s="110"/>
      <c r="E5" s="111"/>
      <c r="F5" s="110"/>
      <c r="G5" s="111"/>
      <c r="H5" s="43"/>
      <c r="I5" s="110"/>
      <c r="J5" s="43"/>
      <c r="K5" s="43"/>
      <c r="L5" s="43"/>
      <c r="M5" s="43"/>
      <c r="N5" s="43"/>
      <c r="O5" s="43"/>
      <c r="P5" s="43"/>
      <c r="Q5" s="43"/>
      <c r="R5" s="20"/>
      <c r="S5" s="20"/>
      <c r="T5" s="41"/>
      <c r="U5" s="41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41"/>
      <c r="AH5" s="112"/>
      <c r="AI5" s="20"/>
    </row>
    <row r="6" spans="1:36" x14ac:dyDescent="0.35">
      <c r="A6" s="20" t="s">
        <v>5</v>
      </c>
      <c r="B6" s="140">
        <v>2</v>
      </c>
      <c r="C6" s="141">
        <v>0.75</v>
      </c>
      <c r="D6" s="142">
        <v>0</v>
      </c>
      <c r="E6" s="143">
        <v>0</v>
      </c>
      <c r="F6" s="144">
        <v>2</v>
      </c>
      <c r="G6" s="145">
        <v>0.5</v>
      </c>
      <c r="H6" s="146">
        <f t="shared" ref="H6:H17" si="0">B6+D6+F6</f>
        <v>4</v>
      </c>
      <c r="I6" s="62">
        <v>1170</v>
      </c>
      <c r="J6" s="147">
        <f>(I6*0.82)</f>
        <v>959.4</v>
      </c>
      <c r="K6" s="148">
        <f t="shared" ref="K6:K17" si="1">(B6/J6)*10000</f>
        <v>20.846362309776943</v>
      </c>
      <c r="L6" s="149">
        <f>((K6/11.6)-1)*100</f>
        <v>79.710019911870205</v>
      </c>
      <c r="M6" s="65">
        <v>1.25</v>
      </c>
      <c r="N6" s="150">
        <f>(D6+F6)/J6*10000</f>
        <v>20.846362309776943</v>
      </c>
      <c r="O6" s="150" t="s">
        <v>122</v>
      </c>
      <c r="P6" s="113">
        <v>0</v>
      </c>
      <c r="Q6" s="62">
        <v>4</v>
      </c>
      <c r="R6" s="63">
        <v>3</v>
      </c>
      <c r="S6" s="64">
        <f>(R6/Q6)*100</f>
        <v>75</v>
      </c>
      <c r="T6" s="65">
        <v>1.5</v>
      </c>
      <c r="U6" s="66">
        <v>0</v>
      </c>
      <c r="V6" s="62">
        <f>81+86</f>
        <v>167</v>
      </c>
      <c r="W6" s="63">
        <v>2</v>
      </c>
      <c r="X6" s="64">
        <f>(V6/W6)/7</f>
        <v>11.928571428571429</v>
      </c>
      <c r="Y6" s="65">
        <v>0.25</v>
      </c>
      <c r="Z6" s="113">
        <v>0</v>
      </c>
      <c r="AA6" s="114">
        <v>26.8</v>
      </c>
      <c r="AB6" s="115">
        <v>1</v>
      </c>
      <c r="AC6" s="116">
        <f>AA6/AB6</f>
        <v>26.8</v>
      </c>
      <c r="AD6" s="117">
        <f>AA6/J6</f>
        <v>2.7934125495101107E-2</v>
      </c>
      <c r="AE6" s="117">
        <v>0.3</v>
      </c>
      <c r="AF6" s="118">
        <v>0.5</v>
      </c>
      <c r="AG6" s="119">
        <f>C6+E6+G6+M6+P6+T6+U6+Y6+Z6+AE6+AF6</f>
        <v>5.05</v>
      </c>
      <c r="AH6" s="120">
        <f>(AG6/11.75)*100</f>
        <v>42.978723404255319</v>
      </c>
      <c r="AI6" s="187"/>
    </row>
    <row r="7" spans="1:36" x14ac:dyDescent="0.35">
      <c r="A7" s="20" t="s">
        <v>6</v>
      </c>
      <c r="B7" s="151">
        <v>2</v>
      </c>
      <c r="C7" s="152">
        <v>0.75</v>
      </c>
      <c r="D7" s="153">
        <v>2</v>
      </c>
      <c r="E7" s="154">
        <v>0.25</v>
      </c>
      <c r="F7" s="155">
        <v>7</v>
      </c>
      <c r="G7" s="156">
        <v>1</v>
      </c>
      <c r="H7" s="157">
        <f t="shared" si="0"/>
        <v>11</v>
      </c>
      <c r="I7" s="76">
        <v>2920</v>
      </c>
      <c r="J7" s="158">
        <f>(I7*0.81)</f>
        <v>2365.2000000000003</v>
      </c>
      <c r="K7" s="159">
        <f t="shared" si="1"/>
        <v>8.4559445290038902</v>
      </c>
      <c r="L7" s="160" t="s">
        <v>122</v>
      </c>
      <c r="M7" s="79">
        <v>0</v>
      </c>
      <c r="N7" s="161">
        <f t="shared" ref="N7:N29" si="2">(D7+F7)/J7*10000</f>
        <v>38.051750380517497</v>
      </c>
      <c r="O7" s="162">
        <f t="shared" ref="O7:O27" si="3">((N7/26.5)-1)*100</f>
        <v>43.591510869877339</v>
      </c>
      <c r="P7" s="123">
        <v>0.75</v>
      </c>
      <c r="Q7" s="163">
        <v>9</v>
      </c>
      <c r="R7" s="164">
        <v>3</v>
      </c>
      <c r="S7" s="126">
        <f t="shared" ref="S7:S29" si="4">(R7/Q7)*100</f>
        <v>33.333333333333329</v>
      </c>
      <c r="T7" s="121">
        <v>0.25</v>
      </c>
      <c r="U7" s="122">
        <v>0.5</v>
      </c>
      <c r="V7" s="76">
        <f>84.5+82.5+96+98+41+91+91+77+100</f>
        <v>761</v>
      </c>
      <c r="W7" s="77">
        <v>9</v>
      </c>
      <c r="X7" s="83">
        <f t="shared" ref="X7:X29" si="5">(V7/W7)/7</f>
        <v>12.079365079365079</v>
      </c>
      <c r="Y7" s="79">
        <v>0.5</v>
      </c>
      <c r="Z7" s="123">
        <v>0</v>
      </c>
      <c r="AA7" s="76">
        <v>73.599999999999994</v>
      </c>
      <c r="AB7" s="77">
        <v>2</v>
      </c>
      <c r="AC7" s="83">
        <f>AA7/AB7</f>
        <v>36.799999999999997</v>
      </c>
      <c r="AD7" s="79">
        <f t="shared" ref="AD7:AD29" si="6">AA7/J7</f>
        <v>3.1117875866734309E-2</v>
      </c>
      <c r="AE7" s="79">
        <v>0.3</v>
      </c>
      <c r="AF7" s="80">
        <v>0.25</v>
      </c>
      <c r="AG7" s="124">
        <f t="shared" ref="AG7:AG29" si="7">C7+E7+G7+M7+P7+T7+U7+Y7+Z7+AE7+AF7</f>
        <v>4.55</v>
      </c>
      <c r="AH7" s="125">
        <f t="shared" ref="AH7:AH29" si="8">(AG7/11.75)*100</f>
        <v>38.723404255319153</v>
      </c>
      <c r="AI7" s="90"/>
    </row>
    <row r="8" spans="1:36" x14ac:dyDescent="0.35">
      <c r="A8" s="20" t="s">
        <v>7</v>
      </c>
      <c r="B8" s="151">
        <v>2</v>
      </c>
      <c r="C8" s="152">
        <v>0.75</v>
      </c>
      <c r="D8" s="153">
        <v>2</v>
      </c>
      <c r="E8" s="154">
        <v>0.25</v>
      </c>
      <c r="F8" s="155">
        <v>2</v>
      </c>
      <c r="G8" s="156">
        <v>0.5</v>
      </c>
      <c r="H8" s="157">
        <f t="shared" si="0"/>
        <v>6</v>
      </c>
      <c r="I8" s="76">
        <v>2610</v>
      </c>
      <c r="J8" s="158">
        <f>(I8*0.82)</f>
        <v>2140.1999999999998</v>
      </c>
      <c r="K8" s="159">
        <f t="shared" si="1"/>
        <v>9.3449210354172525</v>
      </c>
      <c r="L8" s="160" t="s">
        <v>122</v>
      </c>
      <c r="M8" s="79">
        <v>0</v>
      </c>
      <c r="N8" s="162">
        <f t="shared" si="2"/>
        <v>18.689842070834505</v>
      </c>
      <c r="O8" s="162" t="s">
        <v>122</v>
      </c>
      <c r="P8" s="123">
        <v>0</v>
      </c>
      <c r="Q8" s="76">
        <v>4</v>
      </c>
      <c r="R8" s="77">
        <v>1</v>
      </c>
      <c r="S8" s="83">
        <f t="shared" si="4"/>
        <v>25</v>
      </c>
      <c r="T8" s="79">
        <v>0.25</v>
      </c>
      <c r="U8" s="80">
        <v>0</v>
      </c>
      <c r="V8" s="76">
        <f>84+86+91.5+81.67</f>
        <v>343.17</v>
      </c>
      <c r="W8" s="77">
        <v>4</v>
      </c>
      <c r="X8" s="83">
        <f t="shared" si="5"/>
        <v>12.256071428571429</v>
      </c>
      <c r="Y8" s="79">
        <v>0.5</v>
      </c>
      <c r="Z8" s="123">
        <v>0</v>
      </c>
      <c r="AA8" s="76">
        <v>45</v>
      </c>
      <c r="AB8" s="77">
        <v>2</v>
      </c>
      <c r="AC8" s="83">
        <f t="shared" ref="AC8:AC29" si="9">AA8/AB8</f>
        <v>22.5</v>
      </c>
      <c r="AD8" s="79">
        <f t="shared" si="6"/>
        <v>2.1026072329688814E-2</v>
      </c>
      <c r="AE8" s="79">
        <v>0.2</v>
      </c>
      <c r="AF8" s="80">
        <v>0.25</v>
      </c>
      <c r="AG8" s="124">
        <f t="shared" si="7"/>
        <v>2.7</v>
      </c>
      <c r="AH8" s="125">
        <f t="shared" si="8"/>
        <v>22.978723404255323</v>
      </c>
      <c r="AI8" s="88"/>
    </row>
    <row r="9" spans="1:36" x14ac:dyDescent="0.35">
      <c r="A9" s="20" t="s">
        <v>8</v>
      </c>
      <c r="B9" s="151">
        <v>4</v>
      </c>
      <c r="C9" s="152">
        <v>1</v>
      </c>
      <c r="D9" s="153">
        <v>6</v>
      </c>
      <c r="E9" s="154">
        <v>0.75</v>
      </c>
      <c r="F9" s="155">
        <v>11</v>
      </c>
      <c r="G9" s="156">
        <v>1.5</v>
      </c>
      <c r="H9" s="157">
        <f t="shared" si="0"/>
        <v>21</v>
      </c>
      <c r="I9" s="76">
        <v>1430</v>
      </c>
      <c r="J9" s="165">
        <v>1158</v>
      </c>
      <c r="K9" s="166">
        <f t="shared" si="1"/>
        <v>34.542314335060446</v>
      </c>
      <c r="L9" s="160">
        <f t="shared" ref="L9:L28" si="10">((K9/11.6)-1)*100</f>
        <v>197.7785718539694</v>
      </c>
      <c r="M9" s="79">
        <v>1.5</v>
      </c>
      <c r="N9" s="161">
        <f t="shared" si="2"/>
        <v>146.80483592400691</v>
      </c>
      <c r="O9" s="162">
        <f t="shared" si="3"/>
        <v>453.98051292078082</v>
      </c>
      <c r="P9" s="123">
        <v>1.5</v>
      </c>
      <c r="Q9" s="76">
        <v>15</v>
      </c>
      <c r="R9" s="77">
        <v>5</v>
      </c>
      <c r="S9" s="83">
        <f t="shared" si="4"/>
        <v>33.333333333333329</v>
      </c>
      <c r="T9" s="79">
        <v>0.25</v>
      </c>
      <c r="U9" s="80">
        <v>0</v>
      </c>
      <c r="V9" s="76">
        <f>94+89.5+98+87.5+77+91.5+90+94+84+95+42+91+91+88+72.5+90+98</f>
        <v>1473</v>
      </c>
      <c r="W9" s="77">
        <v>17</v>
      </c>
      <c r="X9" s="83">
        <f t="shared" si="5"/>
        <v>12.3781512605042</v>
      </c>
      <c r="Y9" s="79">
        <v>0.5</v>
      </c>
      <c r="Z9" s="123">
        <v>0</v>
      </c>
      <c r="AA9" s="76">
        <f>0.6+41.3+6.5+2.7+38.8+2.2</f>
        <v>92.100000000000009</v>
      </c>
      <c r="AB9" s="77">
        <v>6</v>
      </c>
      <c r="AC9" s="83">
        <f t="shared" si="9"/>
        <v>15.350000000000001</v>
      </c>
      <c r="AD9" s="79">
        <f t="shared" si="6"/>
        <v>7.9533678756476697E-2</v>
      </c>
      <c r="AE9" s="79">
        <v>0.8</v>
      </c>
      <c r="AF9" s="80">
        <v>0.25</v>
      </c>
      <c r="AG9" s="124">
        <f t="shared" si="7"/>
        <v>8.0500000000000007</v>
      </c>
      <c r="AH9" s="125">
        <f t="shared" si="8"/>
        <v>68.510638297872347</v>
      </c>
      <c r="AI9" s="203"/>
      <c r="AJ9" s="20" t="s">
        <v>270</v>
      </c>
    </row>
    <row r="10" spans="1:36" x14ac:dyDescent="0.35">
      <c r="A10" s="20" t="s">
        <v>9</v>
      </c>
      <c r="B10" s="151">
        <v>2</v>
      </c>
      <c r="C10" s="152">
        <v>0.75</v>
      </c>
      <c r="D10" s="153">
        <v>1</v>
      </c>
      <c r="E10" s="154">
        <v>0</v>
      </c>
      <c r="F10" s="155">
        <v>4</v>
      </c>
      <c r="G10" s="156">
        <v>0.75</v>
      </c>
      <c r="H10" s="157">
        <f t="shared" si="0"/>
        <v>7</v>
      </c>
      <c r="I10" s="76">
        <v>2510</v>
      </c>
      <c r="J10" s="165">
        <f>(I10*0.82)</f>
        <v>2058.1999999999998</v>
      </c>
      <c r="K10" s="159">
        <f t="shared" si="1"/>
        <v>9.7172286463900512</v>
      </c>
      <c r="L10" s="160" t="s">
        <v>122</v>
      </c>
      <c r="M10" s="79">
        <v>0</v>
      </c>
      <c r="N10" s="162">
        <f t="shared" si="2"/>
        <v>24.293071615975126</v>
      </c>
      <c r="O10" s="162" t="s">
        <v>122</v>
      </c>
      <c r="P10" s="123">
        <v>0</v>
      </c>
      <c r="Q10" s="76">
        <v>6</v>
      </c>
      <c r="R10" s="77">
        <v>4</v>
      </c>
      <c r="S10" s="83">
        <f t="shared" si="4"/>
        <v>66.666666666666657</v>
      </c>
      <c r="T10" s="79">
        <v>0.5</v>
      </c>
      <c r="U10" s="80">
        <v>0</v>
      </c>
      <c r="V10" s="76">
        <f>88+98+126+105+51.5</f>
        <v>468.5</v>
      </c>
      <c r="W10" s="77">
        <v>5</v>
      </c>
      <c r="X10" s="83">
        <f t="shared" si="5"/>
        <v>13.385714285714286</v>
      </c>
      <c r="Y10" s="79">
        <v>0.75</v>
      </c>
      <c r="Z10" s="123">
        <v>0</v>
      </c>
      <c r="AA10" s="76">
        <f>26.4+9.7</f>
        <v>36.099999999999994</v>
      </c>
      <c r="AB10" s="77">
        <v>2</v>
      </c>
      <c r="AC10" s="83">
        <f t="shared" si="9"/>
        <v>18.049999999999997</v>
      </c>
      <c r="AD10" s="79">
        <f t="shared" si="6"/>
        <v>1.753959770673404E-2</v>
      </c>
      <c r="AE10" s="79">
        <v>0.2</v>
      </c>
      <c r="AF10" s="80">
        <v>0.25</v>
      </c>
      <c r="AG10" s="124">
        <f t="shared" si="7"/>
        <v>3.2</v>
      </c>
      <c r="AH10" s="125">
        <f t="shared" si="8"/>
        <v>27.23404255319149</v>
      </c>
      <c r="AI10" s="88"/>
      <c r="AJ10" s="20" t="s">
        <v>270</v>
      </c>
    </row>
    <row r="11" spans="1:36" x14ac:dyDescent="0.35">
      <c r="A11" s="20" t="s">
        <v>10</v>
      </c>
      <c r="B11" s="151">
        <v>7</v>
      </c>
      <c r="C11" s="152">
        <v>1.25</v>
      </c>
      <c r="D11" s="153">
        <v>4</v>
      </c>
      <c r="E11" s="154">
        <v>0.5</v>
      </c>
      <c r="F11" s="155">
        <v>13</v>
      </c>
      <c r="G11" s="156">
        <v>1.75</v>
      </c>
      <c r="H11" s="157">
        <f t="shared" si="0"/>
        <v>24</v>
      </c>
      <c r="I11" s="76">
        <v>7440</v>
      </c>
      <c r="J11" s="158">
        <f>(I11*0.81)</f>
        <v>6026.4000000000005</v>
      </c>
      <c r="K11" s="166">
        <f t="shared" si="1"/>
        <v>11.615558210540289</v>
      </c>
      <c r="L11" s="160" t="s">
        <v>82</v>
      </c>
      <c r="M11" s="79">
        <v>0.25</v>
      </c>
      <c r="N11" s="161">
        <f t="shared" si="2"/>
        <v>28.209212797026414</v>
      </c>
      <c r="O11" s="162">
        <f t="shared" si="3"/>
        <v>6.4498596114204387</v>
      </c>
      <c r="P11" s="123">
        <v>0.5</v>
      </c>
      <c r="Q11" s="76">
        <v>20</v>
      </c>
      <c r="R11" s="77">
        <v>10</v>
      </c>
      <c r="S11" s="83">
        <f t="shared" si="4"/>
        <v>50</v>
      </c>
      <c r="T11" s="79">
        <v>0.5</v>
      </c>
      <c r="U11" s="80">
        <v>0</v>
      </c>
      <c r="V11" s="76">
        <f>93+96+42+93+92+91.5+98+73.5+91+91.5+98+98+91+88.5+87.5+91+84</f>
        <v>1499.5</v>
      </c>
      <c r="W11" s="77">
        <v>17</v>
      </c>
      <c r="X11" s="83">
        <f t="shared" si="5"/>
        <v>12.600840336134453</v>
      </c>
      <c r="Y11" s="79">
        <v>0.5</v>
      </c>
      <c r="Z11" s="123">
        <v>0</v>
      </c>
      <c r="AA11" s="76">
        <f>21.6+6+81.4+4+263.1+23.7+55.6</f>
        <v>455.40000000000003</v>
      </c>
      <c r="AB11" s="77">
        <v>7</v>
      </c>
      <c r="AC11" s="83">
        <f t="shared" si="9"/>
        <v>65.057142857142864</v>
      </c>
      <c r="AD11" s="79">
        <f t="shared" si="6"/>
        <v>7.5567502986857826E-2</v>
      </c>
      <c r="AE11" s="79">
        <v>0.8</v>
      </c>
      <c r="AF11" s="80">
        <v>0.5</v>
      </c>
      <c r="AG11" s="124">
        <f t="shared" si="7"/>
        <v>6.55</v>
      </c>
      <c r="AH11" s="125">
        <f t="shared" si="8"/>
        <v>55.744680851063833</v>
      </c>
      <c r="AI11" s="260"/>
      <c r="AJ11" s="20" t="s">
        <v>271</v>
      </c>
    </row>
    <row r="12" spans="1:36" x14ac:dyDescent="0.35">
      <c r="A12" s="20" t="s">
        <v>11</v>
      </c>
      <c r="B12" s="151">
        <v>8</v>
      </c>
      <c r="C12" s="152">
        <v>1.5</v>
      </c>
      <c r="D12" s="153">
        <v>4</v>
      </c>
      <c r="E12" s="154">
        <v>0.5</v>
      </c>
      <c r="F12" s="155">
        <v>7</v>
      </c>
      <c r="G12" s="156">
        <v>1</v>
      </c>
      <c r="H12" s="157">
        <f t="shared" si="0"/>
        <v>19</v>
      </c>
      <c r="I12" s="76">
        <v>4000</v>
      </c>
      <c r="J12" s="158">
        <f>(I12*0.86)</f>
        <v>3440</v>
      </c>
      <c r="K12" s="166">
        <f t="shared" si="1"/>
        <v>23.255813953488371</v>
      </c>
      <c r="L12" s="160">
        <f t="shared" si="10"/>
        <v>100.48115477145147</v>
      </c>
      <c r="M12" s="79">
        <v>0</v>
      </c>
      <c r="N12" s="161">
        <f t="shared" si="2"/>
        <v>31.97674418604651</v>
      </c>
      <c r="O12" s="162">
        <f t="shared" si="3"/>
        <v>20.666959192628333</v>
      </c>
      <c r="P12" s="123">
        <v>0.5</v>
      </c>
      <c r="Q12" s="76">
        <v>15</v>
      </c>
      <c r="R12" s="77">
        <v>6</v>
      </c>
      <c r="S12" s="83">
        <f t="shared" si="4"/>
        <v>40</v>
      </c>
      <c r="T12" s="79">
        <v>0.25</v>
      </c>
      <c r="U12" s="80">
        <v>0</v>
      </c>
      <c r="V12" s="163">
        <f>98+98+43.75+99+96.5+86+49+90+7.75+59.5</f>
        <v>727.5</v>
      </c>
      <c r="W12" s="164">
        <v>10</v>
      </c>
      <c r="X12" s="126">
        <f t="shared" si="5"/>
        <v>10.392857142857142</v>
      </c>
      <c r="Y12" s="121">
        <v>0</v>
      </c>
      <c r="Z12" s="127">
        <v>0.25</v>
      </c>
      <c r="AA12" s="76">
        <f>27.5+21.4+22.5+27+67+22.3+15.1+11.5</f>
        <v>214.3</v>
      </c>
      <c r="AB12" s="77">
        <v>8</v>
      </c>
      <c r="AC12" s="83">
        <f t="shared" si="9"/>
        <v>26.787500000000001</v>
      </c>
      <c r="AD12" s="79">
        <f t="shared" si="6"/>
        <v>6.2296511627906982E-2</v>
      </c>
      <c r="AE12" s="79">
        <v>0.6</v>
      </c>
      <c r="AF12" s="80">
        <v>0.25</v>
      </c>
      <c r="AG12" s="124">
        <f t="shared" si="7"/>
        <v>4.8499999999999996</v>
      </c>
      <c r="AH12" s="125">
        <f t="shared" si="8"/>
        <v>41.276595744680847</v>
      </c>
      <c r="AI12" s="260"/>
      <c r="AJ12" s="20" t="s">
        <v>270</v>
      </c>
    </row>
    <row r="13" spans="1:36" x14ac:dyDescent="0.35">
      <c r="A13" s="20" t="s">
        <v>12</v>
      </c>
      <c r="B13" s="151">
        <v>1</v>
      </c>
      <c r="C13" s="152">
        <v>0</v>
      </c>
      <c r="D13" s="153">
        <v>1</v>
      </c>
      <c r="E13" s="154">
        <v>0</v>
      </c>
      <c r="F13" s="155">
        <v>1</v>
      </c>
      <c r="G13" s="156">
        <v>0</v>
      </c>
      <c r="H13" s="157">
        <f t="shared" si="0"/>
        <v>3</v>
      </c>
      <c r="I13" s="76">
        <v>3050</v>
      </c>
      <c r="J13" s="165">
        <f>(I13*0.82)</f>
        <v>2501</v>
      </c>
      <c r="K13" s="159">
        <f t="shared" si="1"/>
        <v>3.9984006397441023</v>
      </c>
      <c r="L13" s="160" t="s">
        <v>122</v>
      </c>
      <c r="M13" s="79">
        <v>0</v>
      </c>
      <c r="N13" s="162">
        <f t="shared" si="2"/>
        <v>7.9968012794882046</v>
      </c>
      <c r="O13" s="162" t="s">
        <v>122</v>
      </c>
      <c r="P13" s="123">
        <v>0</v>
      </c>
      <c r="Q13" s="76">
        <v>2</v>
      </c>
      <c r="R13" s="77">
        <v>1</v>
      </c>
      <c r="S13" s="83">
        <f t="shared" si="4"/>
        <v>50</v>
      </c>
      <c r="T13" s="79">
        <v>0.5</v>
      </c>
      <c r="U13" s="80">
        <v>0</v>
      </c>
      <c r="V13" s="76">
        <f>97.5+84</f>
        <v>181.5</v>
      </c>
      <c r="W13" s="77">
        <v>2</v>
      </c>
      <c r="X13" s="83">
        <f t="shared" si="5"/>
        <v>12.964285714285714</v>
      </c>
      <c r="Y13" s="79">
        <v>0.75</v>
      </c>
      <c r="Z13" s="123">
        <v>0</v>
      </c>
      <c r="AA13" s="76">
        <v>24.1</v>
      </c>
      <c r="AB13" s="77">
        <v>1</v>
      </c>
      <c r="AC13" s="83">
        <f t="shared" si="9"/>
        <v>24.1</v>
      </c>
      <c r="AD13" s="79">
        <f t="shared" si="6"/>
        <v>9.6361455417832871E-3</v>
      </c>
      <c r="AE13" s="79">
        <v>0.1</v>
      </c>
      <c r="AF13" s="80">
        <v>0.25</v>
      </c>
      <c r="AG13" s="124">
        <f t="shared" si="7"/>
        <v>1.6</v>
      </c>
      <c r="AH13" s="125">
        <f t="shared" si="8"/>
        <v>13.617021276595745</v>
      </c>
      <c r="AI13" s="88"/>
    </row>
    <row r="14" spans="1:36" x14ac:dyDescent="0.35">
      <c r="A14" s="20" t="s">
        <v>13</v>
      </c>
      <c r="B14" s="151">
        <v>3</v>
      </c>
      <c r="C14" s="152">
        <v>0.75</v>
      </c>
      <c r="D14" s="153">
        <v>3</v>
      </c>
      <c r="E14" s="154">
        <v>0.25</v>
      </c>
      <c r="F14" s="155">
        <v>8</v>
      </c>
      <c r="G14" s="156">
        <v>1.25</v>
      </c>
      <c r="H14" s="157">
        <f t="shared" si="0"/>
        <v>14</v>
      </c>
      <c r="I14" s="76" t="s">
        <v>50</v>
      </c>
      <c r="J14" s="167">
        <f t="shared" ref="J14" si="11">(300*0.82)</f>
        <v>245.99999999999997</v>
      </c>
      <c r="K14" s="166">
        <f t="shared" si="1"/>
        <v>121.95121951219514</v>
      </c>
      <c r="L14" s="160">
        <f t="shared" si="10"/>
        <v>951.30361648444079</v>
      </c>
      <c r="M14" s="79">
        <v>1.5</v>
      </c>
      <c r="N14" s="161">
        <f t="shared" si="2"/>
        <v>447.15447154471553</v>
      </c>
      <c r="O14" s="162">
        <f t="shared" si="3"/>
        <v>1587.3753643196815</v>
      </c>
      <c r="P14" s="123">
        <v>1.5</v>
      </c>
      <c r="Q14" s="76">
        <v>11</v>
      </c>
      <c r="R14" s="77">
        <v>4</v>
      </c>
      <c r="S14" s="83">
        <f t="shared" si="4"/>
        <v>36.363636363636367</v>
      </c>
      <c r="T14" s="79">
        <v>0.25</v>
      </c>
      <c r="U14" s="80">
        <v>0</v>
      </c>
      <c r="V14" s="76">
        <f>52+47+47.5+87.5+93+91+93+84+94+97+91</f>
        <v>877</v>
      </c>
      <c r="W14" s="77">
        <v>11</v>
      </c>
      <c r="X14" s="83">
        <f t="shared" si="5"/>
        <v>11.389610389610391</v>
      </c>
      <c r="Y14" s="79">
        <v>0.25</v>
      </c>
      <c r="Z14" s="123">
        <v>0</v>
      </c>
      <c r="AA14" s="76">
        <f>6+24.3+7.6+1.9</f>
        <v>39.799999999999997</v>
      </c>
      <c r="AB14" s="77">
        <v>4</v>
      </c>
      <c r="AC14" s="83">
        <f t="shared" si="9"/>
        <v>9.9499999999999993</v>
      </c>
      <c r="AD14" s="79">
        <f t="shared" si="6"/>
        <v>0.16178861788617888</v>
      </c>
      <c r="AE14" s="79">
        <v>1.25</v>
      </c>
      <c r="AF14" s="80">
        <v>0.25</v>
      </c>
      <c r="AG14" s="124">
        <f t="shared" si="7"/>
        <v>7.25</v>
      </c>
      <c r="AH14" s="125">
        <f t="shared" si="8"/>
        <v>61.702127659574465</v>
      </c>
      <c r="AI14" s="204"/>
    </row>
    <row r="15" spans="1:36" x14ac:dyDescent="0.35">
      <c r="A15" s="20" t="s">
        <v>14</v>
      </c>
      <c r="B15" s="151">
        <v>1</v>
      </c>
      <c r="C15" s="152">
        <v>0</v>
      </c>
      <c r="D15" s="153">
        <v>0</v>
      </c>
      <c r="E15" s="154">
        <v>0</v>
      </c>
      <c r="F15" s="155">
        <v>0</v>
      </c>
      <c r="G15" s="156">
        <v>0</v>
      </c>
      <c r="H15" s="157">
        <f t="shared" si="0"/>
        <v>1</v>
      </c>
      <c r="I15" s="76">
        <v>870</v>
      </c>
      <c r="J15" s="165">
        <f>(I15*0.82)</f>
        <v>713.4</v>
      </c>
      <c r="K15" s="166">
        <f t="shared" si="1"/>
        <v>14.017381553125876</v>
      </c>
      <c r="L15" s="160">
        <f t="shared" si="10"/>
        <v>20.839496147636872</v>
      </c>
      <c r="M15" s="79">
        <v>0.5</v>
      </c>
      <c r="N15" s="162">
        <f t="shared" si="2"/>
        <v>0</v>
      </c>
      <c r="O15" s="162" t="s">
        <v>122</v>
      </c>
      <c r="P15" s="123">
        <v>0</v>
      </c>
      <c r="Q15" s="76">
        <v>1</v>
      </c>
      <c r="R15" s="77">
        <v>0</v>
      </c>
      <c r="S15" s="83">
        <f t="shared" si="4"/>
        <v>0</v>
      </c>
      <c r="T15" s="79">
        <v>0</v>
      </c>
      <c r="U15" s="80">
        <v>0</v>
      </c>
      <c r="V15" s="76">
        <v>0</v>
      </c>
      <c r="W15" s="77" t="s">
        <v>122</v>
      </c>
      <c r="X15" s="83" t="s">
        <v>122</v>
      </c>
      <c r="Y15" s="79">
        <v>0</v>
      </c>
      <c r="Z15" s="123">
        <v>0</v>
      </c>
      <c r="AA15" s="76">
        <v>14.9</v>
      </c>
      <c r="AB15" s="77">
        <v>1</v>
      </c>
      <c r="AC15" s="83">
        <f t="shared" si="9"/>
        <v>14.9</v>
      </c>
      <c r="AD15" s="79">
        <f t="shared" si="6"/>
        <v>2.0885898514157557E-2</v>
      </c>
      <c r="AE15" s="79">
        <v>0.2</v>
      </c>
      <c r="AF15" s="80">
        <v>0</v>
      </c>
      <c r="AG15" s="124">
        <f t="shared" si="7"/>
        <v>0.7</v>
      </c>
      <c r="AH15" s="125">
        <f t="shared" si="8"/>
        <v>5.957446808510638</v>
      </c>
      <c r="AI15" s="88"/>
    </row>
    <row r="16" spans="1:36" x14ac:dyDescent="0.35">
      <c r="A16" s="20" t="s">
        <v>15</v>
      </c>
      <c r="B16" s="151">
        <v>1</v>
      </c>
      <c r="C16" s="152">
        <v>0</v>
      </c>
      <c r="D16" s="153">
        <v>1</v>
      </c>
      <c r="E16" s="154">
        <v>0</v>
      </c>
      <c r="F16" s="155">
        <v>2</v>
      </c>
      <c r="G16" s="156">
        <v>0.5</v>
      </c>
      <c r="H16" s="157">
        <f t="shared" si="0"/>
        <v>4</v>
      </c>
      <c r="I16" s="76">
        <v>1570</v>
      </c>
      <c r="J16" s="165">
        <f t="shared" ref="J16" si="12">(I16*0.82)</f>
        <v>1287.3999999999999</v>
      </c>
      <c r="K16" s="159">
        <f t="shared" si="1"/>
        <v>7.7675935995028746</v>
      </c>
      <c r="L16" s="160" t="s">
        <v>122</v>
      </c>
      <c r="M16" s="79">
        <v>0</v>
      </c>
      <c r="N16" s="162">
        <f t="shared" si="2"/>
        <v>23.302780798508625</v>
      </c>
      <c r="O16" s="162" t="s">
        <v>122</v>
      </c>
      <c r="P16" s="123">
        <v>0</v>
      </c>
      <c r="Q16" s="76">
        <v>3</v>
      </c>
      <c r="R16" s="77">
        <v>0</v>
      </c>
      <c r="S16" s="83">
        <f t="shared" si="4"/>
        <v>0</v>
      </c>
      <c r="T16" s="79">
        <v>0</v>
      </c>
      <c r="U16" s="80">
        <v>0</v>
      </c>
      <c r="V16" s="76">
        <f>98+98+83.5</f>
        <v>279.5</v>
      </c>
      <c r="W16" s="77">
        <v>3</v>
      </c>
      <c r="X16" s="83">
        <f t="shared" si="5"/>
        <v>13.30952380952381</v>
      </c>
      <c r="Y16" s="79">
        <v>0.75</v>
      </c>
      <c r="Z16" s="123">
        <v>0</v>
      </c>
      <c r="AA16" s="76">
        <v>27.9</v>
      </c>
      <c r="AB16" s="77">
        <v>1</v>
      </c>
      <c r="AC16" s="83">
        <f t="shared" si="9"/>
        <v>27.9</v>
      </c>
      <c r="AD16" s="79">
        <f t="shared" si="6"/>
        <v>2.1671586142613018E-2</v>
      </c>
      <c r="AE16" s="79">
        <v>0.2</v>
      </c>
      <c r="AF16" s="80">
        <v>0.25</v>
      </c>
      <c r="AG16" s="124">
        <f t="shared" si="7"/>
        <v>1.7</v>
      </c>
      <c r="AH16" s="125">
        <f t="shared" si="8"/>
        <v>14.468085106382977</v>
      </c>
      <c r="AI16" s="88"/>
    </row>
    <row r="17" spans="1:36" x14ac:dyDescent="0.35">
      <c r="A17" s="20" t="s">
        <v>16</v>
      </c>
      <c r="B17" s="151">
        <v>10</v>
      </c>
      <c r="C17" s="152">
        <v>1.75</v>
      </c>
      <c r="D17" s="153">
        <v>0</v>
      </c>
      <c r="E17" s="154">
        <v>0</v>
      </c>
      <c r="F17" s="155">
        <v>11</v>
      </c>
      <c r="G17" s="156">
        <v>1.5</v>
      </c>
      <c r="H17" s="157">
        <f t="shared" si="0"/>
        <v>21</v>
      </c>
      <c r="I17" s="76">
        <v>10070</v>
      </c>
      <c r="J17" s="158">
        <f>(I17*0.82)</f>
        <v>8257.4</v>
      </c>
      <c r="K17" s="159">
        <f t="shared" si="1"/>
        <v>12.110349504686704</v>
      </c>
      <c r="L17" s="160">
        <f t="shared" si="10"/>
        <v>4.3995646955750312</v>
      </c>
      <c r="M17" s="79">
        <v>0.5</v>
      </c>
      <c r="N17" s="162">
        <f t="shared" si="2"/>
        <v>13.321384455155377</v>
      </c>
      <c r="O17" s="162" t="s">
        <v>122</v>
      </c>
      <c r="P17" s="123">
        <v>0</v>
      </c>
      <c r="Q17" s="76">
        <v>21</v>
      </c>
      <c r="R17" s="77">
        <v>14</v>
      </c>
      <c r="S17" s="83">
        <f t="shared" si="4"/>
        <v>66.666666666666657</v>
      </c>
      <c r="T17" s="79">
        <v>0.5</v>
      </c>
      <c r="U17" s="80">
        <v>0</v>
      </c>
      <c r="V17" s="76">
        <f>97.5+93+91+95.5+97.5+89+62+58+77+77+79</f>
        <v>916.5</v>
      </c>
      <c r="W17" s="77">
        <v>11</v>
      </c>
      <c r="X17" s="83">
        <f t="shared" si="5"/>
        <v>11.902597402597403</v>
      </c>
      <c r="Y17" s="79">
        <v>0.25</v>
      </c>
      <c r="Z17" s="123">
        <v>0</v>
      </c>
      <c r="AA17" s="76">
        <f>49+261.8+7.1+14.8+22.1+24.6+36.2+2.8+7.2+9+2.2</f>
        <v>436.80000000000007</v>
      </c>
      <c r="AB17" s="77">
        <v>11</v>
      </c>
      <c r="AC17" s="83">
        <f t="shared" si="9"/>
        <v>39.709090909090918</v>
      </c>
      <c r="AD17" s="79">
        <f t="shared" si="6"/>
        <v>5.289800663647154E-2</v>
      </c>
      <c r="AE17" s="79">
        <v>0.5</v>
      </c>
      <c r="AF17" s="80">
        <v>0.25</v>
      </c>
      <c r="AG17" s="124">
        <f t="shared" si="7"/>
        <v>5.25</v>
      </c>
      <c r="AH17" s="125">
        <f t="shared" si="8"/>
        <v>44.680851063829785</v>
      </c>
      <c r="AI17" s="90"/>
    </row>
    <row r="18" spans="1:36" x14ac:dyDescent="0.35">
      <c r="A18" s="20" t="s">
        <v>17</v>
      </c>
      <c r="B18" s="151">
        <v>19</v>
      </c>
      <c r="C18" s="152">
        <v>2</v>
      </c>
      <c r="D18" s="153">
        <v>10</v>
      </c>
      <c r="E18" s="154">
        <v>1.25</v>
      </c>
      <c r="F18" s="155">
        <v>9</v>
      </c>
      <c r="G18" s="156">
        <v>1.25</v>
      </c>
      <c r="H18" s="157">
        <f t="shared" ref="H18:H29" si="13">B18+D18+F18</f>
        <v>38</v>
      </c>
      <c r="I18" s="76">
        <v>12570</v>
      </c>
      <c r="J18" s="158">
        <f>(I18*0.82)</f>
        <v>10307.4</v>
      </c>
      <c r="K18" s="166">
        <f t="shared" ref="K18:K29" si="14">(B18/J18)*10000</f>
        <v>18.433358557929253</v>
      </c>
      <c r="L18" s="160">
        <f t="shared" si="10"/>
        <v>58.90826343042459</v>
      </c>
      <c r="M18" s="79">
        <v>1</v>
      </c>
      <c r="N18" s="162">
        <f t="shared" si="2"/>
        <v>18.433358557929253</v>
      </c>
      <c r="O18" s="162" t="s">
        <v>122</v>
      </c>
      <c r="P18" s="123">
        <v>0</v>
      </c>
      <c r="Q18" s="163">
        <v>28</v>
      </c>
      <c r="R18" s="164">
        <v>17</v>
      </c>
      <c r="S18" s="126">
        <f t="shared" si="4"/>
        <v>60.714285714285708</v>
      </c>
      <c r="T18" s="121">
        <v>0.5</v>
      </c>
      <c r="U18" s="122">
        <v>0.5</v>
      </c>
      <c r="V18" s="163">
        <f>111+107+7.5+107.5+114+36+82.5+106+72.5+112+70+112+112+72+76+93</f>
        <v>1391</v>
      </c>
      <c r="W18" s="164">
        <v>16</v>
      </c>
      <c r="X18" s="126">
        <f t="shared" si="5"/>
        <v>12.419642857142858</v>
      </c>
      <c r="Y18" s="121">
        <v>0.5</v>
      </c>
      <c r="Z18" s="127">
        <v>0.25</v>
      </c>
      <c r="AA18" s="76">
        <f>11.4+35.7+36.2+25+62.2+8.5+24.6+8.2+37.1+32.7+12+176.9+7.8+21.3+20.6+44.9+9+101.8</f>
        <v>675.9</v>
      </c>
      <c r="AB18" s="77">
        <v>17</v>
      </c>
      <c r="AC18" s="83">
        <f t="shared" si="9"/>
        <v>39.758823529411764</v>
      </c>
      <c r="AD18" s="79">
        <f t="shared" si="6"/>
        <v>6.5574247627917803E-2</v>
      </c>
      <c r="AE18" s="79">
        <v>0.7</v>
      </c>
      <c r="AF18" s="80">
        <v>0.5</v>
      </c>
      <c r="AG18" s="124">
        <f t="shared" si="7"/>
        <v>8.4499999999999993</v>
      </c>
      <c r="AH18" s="125">
        <f t="shared" si="8"/>
        <v>71.914893617021264</v>
      </c>
      <c r="AI18" s="261"/>
      <c r="AJ18" s="20" t="s">
        <v>325</v>
      </c>
    </row>
    <row r="19" spans="1:36" x14ac:dyDescent="0.35">
      <c r="A19" s="20" t="s">
        <v>18</v>
      </c>
      <c r="B19" s="151">
        <v>2</v>
      </c>
      <c r="C19" s="152">
        <v>0.75</v>
      </c>
      <c r="D19" s="153">
        <v>0</v>
      </c>
      <c r="E19" s="154">
        <v>0</v>
      </c>
      <c r="F19" s="155">
        <v>0</v>
      </c>
      <c r="G19" s="156">
        <v>0</v>
      </c>
      <c r="H19" s="157">
        <f t="shared" si="13"/>
        <v>2</v>
      </c>
      <c r="I19" s="76" t="s">
        <v>50</v>
      </c>
      <c r="J19" s="167">
        <f t="shared" ref="J19" si="15">(300*0.82)</f>
        <v>245.99999999999997</v>
      </c>
      <c r="K19" s="166">
        <f t="shared" si="14"/>
        <v>81.300813008130092</v>
      </c>
      <c r="L19" s="160">
        <f t="shared" si="10"/>
        <v>600.86907765629394</v>
      </c>
      <c r="M19" s="79">
        <v>1.5</v>
      </c>
      <c r="N19" s="162">
        <f t="shared" si="2"/>
        <v>0</v>
      </c>
      <c r="O19" s="162" t="s">
        <v>122</v>
      </c>
      <c r="P19" s="123">
        <v>0</v>
      </c>
      <c r="Q19" s="76">
        <v>2</v>
      </c>
      <c r="R19" s="77">
        <v>1</v>
      </c>
      <c r="S19" s="83">
        <f t="shared" si="4"/>
        <v>50</v>
      </c>
      <c r="T19" s="79">
        <v>0.5</v>
      </c>
      <c r="U19" s="80">
        <v>0</v>
      </c>
      <c r="V19" s="76">
        <v>0</v>
      </c>
      <c r="W19" s="77" t="s">
        <v>122</v>
      </c>
      <c r="X19" s="83" t="s">
        <v>122</v>
      </c>
      <c r="Y19" s="79">
        <v>0</v>
      </c>
      <c r="Z19" s="123">
        <v>0</v>
      </c>
      <c r="AA19" s="76">
        <v>10</v>
      </c>
      <c r="AB19" s="77">
        <v>1</v>
      </c>
      <c r="AC19" s="83">
        <f t="shared" si="9"/>
        <v>10</v>
      </c>
      <c r="AD19" s="79">
        <f t="shared" si="6"/>
        <v>4.0650406504065047E-2</v>
      </c>
      <c r="AE19" s="79">
        <v>0.4</v>
      </c>
      <c r="AF19" s="80">
        <v>0.5</v>
      </c>
      <c r="AG19" s="124">
        <f t="shared" si="7"/>
        <v>3.65</v>
      </c>
      <c r="AH19" s="125">
        <f t="shared" si="8"/>
        <v>31.063829787234042</v>
      </c>
      <c r="AI19" s="90"/>
    </row>
    <row r="20" spans="1:36" x14ac:dyDescent="0.35">
      <c r="A20" s="20" t="s">
        <v>19</v>
      </c>
      <c r="B20" s="151">
        <v>1</v>
      </c>
      <c r="C20" s="152">
        <v>0</v>
      </c>
      <c r="D20" s="153">
        <v>0</v>
      </c>
      <c r="E20" s="154">
        <v>0</v>
      </c>
      <c r="F20" s="155">
        <v>1</v>
      </c>
      <c r="G20" s="156">
        <v>0</v>
      </c>
      <c r="H20" s="157">
        <f t="shared" si="13"/>
        <v>2</v>
      </c>
      <c r="I20" s="76">
        <v>560</v>
      </c>
      <c r="J20" s="165">
        <f>(I20*0.82)</f>
        <v>459.2</v>
      </c>
      <c r="K20" s="166">
        <f t="shared" si="14"/>
        <v>21.777003484320556</v>
      </c>
      <c r="L20" s="160">
        <f t="shared" si="10"/>
        <v>87.732788657935828</v>
      </c>
      <c r="M20" s="79">
        <v>1.25</v>
      </c>
      <c r="N20" s="161">
        <f t="shared" si="2"/>
        <v>21.777003484320556</v>
      </c>
      <c r="O20" s="162" t="s">
        <v>122</v>
      </c>
      <c r="P20" s="123">
        <v>0</v>
      </c>
      <c r="Q20" s="76">
        <v>2</v>
      </c>
      <c r="R20" s="77">
        <v>1</v>
      </c>
      <c r="S20" s="83">
        <f t="shared" si="4"/>
        <v>50</v>
      </c>
      <c r="T20" s="79">
        <v>0.5</v>
      </c>
      <c r="U20" s="80">
        <v>0</v>
      </c>
      <c r="V20" s="76">
        <v>108.5</v>
      </c>
      <c r="W20" s="77">
        <v>1</v>
      </c>
      <c r="X20" s="83">
        <f t="shared" si="5"/>
        <v>15.5</v>
      </c>
      <c r="Y20" s="79">
        <v>1</v>
      </c>
      <c r="Z20" s="123">
        <v>0</v>
      </c>
      <c r="AA20" s="76">
        <v>3.7</v>
      </c>
      <c r="AB20" s="77">
        <v>1</v>
      </c>
      <c r="AC20" s="83">
        <f t="shared" si="9"/>
        <v>3.7</v>
      </c>
      <c r="AD20" s="79">
        <f t="shared" si="6"/>
        <v>8.057491289198606E-3</v>
      </c>
      <c r="AE20" s="79">
        <v>0.1</v>
      </c>
      <c r="AF20" s="80">
        <v>0.25</v>
      </c>
      <c r="AG20" s="124">
        <f t="shared" si="7"/>
        <v>3.1</v>
      </c>
      <c r="AH20" s="125">
        <f t="shared" si="8"/>
        <v>26.382978723404253</v>
      </c>
      <c r="AI20" s="88"/>
      <c r="AJ20" s="20" t="s">
        <v>270</v>
      </c>
    </row>
    <row r="21" spans="1:36" x14ac:dyDescent="0.35">
      <c r="A21" s="20" t="s">
        <v>20</v>
      </c>
      <c r="B21" s="151">
        <v>6</v>
      </c>
      <c r="C21" s="152">
        <v>1.25</v>
      </c>
      <c r="D21" s="153">
        <v>3</v>
      </c>
      <c r="E21" s="154">
        <v>0.25</v>
      </c>
      <c r="F21" s="155">
        <v>6</v>
      </c>
      <c r="G21" s="156">
        <v>1</v>
      </c>
      <c r="H21" s="157">
        <f t="shared" si="13"/>
        <v>15</v>
      </c>
      <c r="I21" s="76">
        <v>4550</v>
      </c>
      <c r="J21" s="158">
        <f>(I21*0.84)</f>
        <v>3822</v>
      </c>
      <c r="K21" s="166">
        <f t="shared" si="14"/>
        <v>15.698587127158557</v>
      </c>
      <c r="L21" s="160">
        <f t="shared" si="10"/>
        <v>35.332647647918591</v>
      </c>
      <c r="M21" s="79">
        <v>0.75</v>
      </c>
      <c r="N21" s="162">
        <f t="shared" si="2"/>
        <v>23.547880690737831</v>
      </c>
      <c r="O21" s="162" t="s">
        <v>122</v>
      </c>
      <c r="P21" s="123">
        <v>0</v>
      </c>
      <c r="Q21" s="76">
        <v>12</v>
      </c>
      <c r="R21" s="77">
        <v>6</v>
      </c>
      <c r="S21" s="83">
        <f t="shared" si="4"/>
        <v>50</v>
      </c>
      <c r="T21" s="79">
        <v>0.5</v>
      </c>
      <c r="U21" s="80">
        <v>0</v>
      </c>
      <c r="V21" s="76">
        <f>84+1-3.5+95.5+95+54.5+91+35+94.5+93</f>
        <v>640</v>
      </c>
      <c r="W21" s="77">
        <v>9</v>
      </c>
      <c r="X21" s="83">
        <f t="shared" si="5"/>
        <v>10.15873015873016</v>
      </c>
      <c r="Y21" s="79">
        <v>0</v>
      </c>
      <c r="Z21" s="123">
        <v>0</v>
      </c>
      <c r="AA21" s="76">
        <f>107+69.2+37.7+16.6+11.7+190.3+8.8</f>
        <v>441.3</v>
      </c>
      <c r="AB21" s="77">
        <v>7</v>
      </c>
      <c r="AC21" s="83">
        <f t="shared" si="9"/>
        <v>63.042857142857144</v>
      </c>
      <c r="AD21" s="79">
        <f t="shared" si="6"/>
        <v>0.11546310832025118</v>
      </c>
      <c r="AE21" s="79">
        <v>1.25</v>
      </c>
      <c r="AF21" s="80">
        <v>0.25</v>
      </c>
      <c r="AG21" s="124">
        <f t="shared" si="7"/>
        <v>5.25</v>
      </c>
      <c r="AH21" s="125">
        <f t="shared" si="8"/>
        <v>44.680851063829785</v>
      </c>
      <c r="AI21" s="204"/>
      <c r="AJ21" s="20" t="s">
        <v>270</v>
      </c>
    </row>
    <row r="22" spans="1:36" x14ac:dyDescent="0.35">
      <c r="A22" s="20" t="s">
        <v>21</v>
      </c>
      <c r="B22" s="151">
        <v>3</v>
      </c>
      <c r="C22" s="152">
        <v>0.75</v>
      </c>
      <c r="D22" s="153">
        <v>1</v>
      </c>
      <c r="E22" s="154">
        <v>0</v>
      </c>
      <c r="F22" s="155">
        <v>3</v>
      </c>
      <c r="G22" s="156">
        <v>0.5</v>
      </c>
      <c r="H22" s="157">
        <f t="shared" si="13"/>
        <v>7</v>
      </c>
      <c r="I22" s="76">
        <v>2690</v>
      </c>
      <c r="J22" s="165">
        <f>(I22*0.82)</f>
        <v>2205.7999999999997</v>
      </c>
      <c r="K22" s="166">
        <f t="shared" si="14"/>
        <v>13.60050775228942</v>
      </c>
      <c r="L22" s="160">
        <f t="shared" si="10"/>
        <v>17.245756485253636</v>
      </c>
      <c r="M22" s="79">
        <v>0.5</v>
      </c>
      <c r="N22" s="162">
        <f t="shared" si="2"/>
        <v>18.134010336385895</v>
      </c>
      <c r="O22" s="162" t="s">
        <v>122</v>
      </c>
      <c r="P22" s="123">
        <v>0</v>
      </c>
      <c r="Q22" s="163">
        <v>5</v>
      </c>
      <c r="R22" s="164">
        <v>2</v>
      </c>
      <c r="S22" s="126">
        <f t="shared" si="4"/>
        <v>40</v>
      </c>
      <c r="T22" s="121">
        <v>0.4</v>
      </c>
      <c r="U22" s="122">
        <v>0.5</v>
      </c>
      <c r="V22" s="76">
        <f>98+49+75+63</f>
        <v>285</v>
      </c>
      <c r="W22" s="77">
        <v>4</v>
      </c>
      <c r="X22" s="83">
        <f t="shared" si="5"/>
        <v>10.178571428571429</v>
      </c>
      <c r="Y22" s="79">
        <v>0</v>
      </c>
      <c r="Z22" s="123">
        <v>0</v>
      </c>
      <c r="AA22" s="76">
        <f>3.07+27.4+10.7+17</f>
        <v>58.17</v>
      </c>
      <c r="AB22" s="77">
        <v>4</v>
      </c>
      <c r="AC22" s="83">
        <f t="shared" si="9"/>
        <v>14.5425</v>
      </c>
      <c r="AD22" s="79">
        <f t="shared" si="6"/>
        <v>2.6371384531689187E-2</v>
      </c>
      <c r="AE22" s="79">
        <v>0.3</v>
      </c>
      <c r="AF22" s="80">
        <v>0.25</v>
      </c>
      <c r="AG22" s="124">
        <f t="shared" si="7"/>
        <v>3.1999999999999997</v>
      </c>
      <c r="AH22" s="125">
        <f t="shared" si="8"/>
        <v>27.23404255319149</v>
      </c>
      <c r="AI22" s="90"/>
    </row>
    <row r="23" spans="1:36" x14ac:dyDescent="0.35">
      <c r="A23" s="20" t="s">
        <v>22</v>
      </c>
      <c r="B23" s="151">
        <v>2</v>
      </c>
      <c r="C23" s="152">
        <v>0.75</v>
      </c>
      <c r="D23" s="153">
        <v>0</v>
      </c>
      <c r="E23" s="154">
        <v>0</v>
      </c>
      <c r="F23" s="155">
        <v>3</v>
      </c>
      <c r="G23" s="156">
        <v>0.5</v>
      </c>
      <c r="H23" s="157">
        <f t="shared" si="13"/>
        <v>5</v>
      </c>
      <c r="I23" s="76">
        <v>2300</v>
      </c>
      <c r="J23" s="165">
        <f>(I23*0.82)</f>
        <v>1886</v>
      </c>
      <c r="K23" s="159">
        <f t="shared" si="14"/>
        <v>10.604453870625663</v>
      </c>
      <c r="L23" s="160" t="s">
        <v>122</v>
      </c>
      <c r="M23" s="79">
        <v>0</v>
      </c>
      <c r="N23" s="162">
        <f t="shared" si="2"/>
        <v>15.906680805938494</v>
      </c>
      <c r="O23" s="162" t="s">
        <v>122</v>
      </c>
      <c r="P23" s="123">
        <v>0</v>
      </c>
      <c r="Q23" s="76">
        <v>5</v>
      </c>
      <c r="R23" s="77">
        <v>2</v>
      </c>
      <c r="S23" s="83">
        <f t="shared" si="4"/>
        <v>40</v>
      </c>
      <c r="T23" s="79">
        <v>0.4</v>
      </c>
      <c r="U23" s="80">
        <v>0</v>
      </c>
      <c r="V23" s="76">
        <f>98+98+96.5</f>
        <v>292.5</v>
      </c>
      <c r="W23" s="77">
        <v>3</v>
      </c>
      <c r="X23" s="83">
        <f t="shared" si="5"/>
        <v>13.928571428571429</v>
      </c>
      <c r="Y23" s="79">
        <v>0.75</v>
      </c>
      <c r="Z23" s="123">
        <v>0</v>
      </c>
      <c r="AA23" s="76">
        <f>59.4+3.9</f>
        <v>63.3</v>
      </c>
      <c r="AB23" s="77">
        <v>2</v>
      </c>
      <c r="AC23" s="83">
        <f t="shared" si="9"/>
        <v>31.65</v>
      </c>
      <c r="AD23" s="79">
        <f t="shared" si="6"/>
        <v>3.3563096500530222E-2</v>
      </c>
      <c r="AE23" s="79">
        <v>0.3</v>
      </c>
      <c r="AF23" s="80">
        <v>0.25</v>
      </c>
      <c r="AG23" s="124">
        <f t="shared" si="7"/>
        <v>2.9499999999999997</v>
      </c>
      <c r="AH23" s="125">
        <f t="shared" si="8"/>
        <v>25.106382978723403</v>
      </c>
      <c r="AI23" s="90"/>
    </row>
    <row r="24" spans="1:36" x14ac:dyDescent="0.35">
      <c r="A24" s="20" t="s">
        <v>23</v>
      </c>
      <c r="B24" s="151">
        <v>13</v>
      </c>
      <c r="C24" s="152">
        <v>2</v>
      </c>
      <c r="D24" s="153">
        <v>15</v>
      </c>
      <c r="E24" s="154">
        <v>1.5</v>
      </c>
      <c r="F24" s="155">
        <v>15</v>
      </c>
      <c r="G24" s="156">
        <v>1.75</v>
      </c>
      <c r="H24" s="157">
        <f t="shared" si="13"/>
        <v>43</v>
      </c>
      <c r="I24" s="76">
        <v>14660</v>
      </c>
      <c r="J24" s="158">
        <f>(I24*0.81)</f>
        <v>11874.6</v>
      </c>
      <c r="K24" s="159">
        <f t="shared" si="14"/>
        <v>10.947737186936823</v>
      </c>
      <c r="L24" s="160" t="s">
        <v>122</v>
      </c>
      <c r="M24" s="79">
        <v>0</v>
      </c>
      <c r="N24" s="162">
        <f t="shared" si="2"/>
        <v>25.26400889293113</v>
      </c>
      <c r="O24" s="162" t="s">
        <v>122</v>
      </c>
      <c r="P24" s="123">
        <v>0</v>
      </c>
      <c r="Q24" s="76">
        <v>28</v>
      </c>
      <c r="R24" s="77">
        <v>15</v>
      </c>
      <c r="S24" s="83">
        <f t="shared" si="4"/>
        <v>53.571428571428569</v>
      </c>
      <c r="T24" s="79">
        <v>0.5</v>
      </c>
      <c r="U24" s="80">
        <v>0</v>
      </c>
      <c r="V24" s="76">
        <f>81+97+77.5+88.25+38+105+107+105+109+96.5+87+55.5+98+51+75+95.5+79+27+24+92+84+49+60+79+72+82.5+106+100+93+56</f>
        <v>2369.75</v>
      </c>
      <c r="W24" s="77">
        <v>30</v>
      </c>
      <c r="X24" s="83">
        <f t="shared" si="5"/>
        <v>11.284523809523808</v>
      </c>
      <c r="Y24" s="79">
        <v>0.25</v>
      </c>
      <c r="Z24" s="123">
        <v>0</v>
      </c>
      <c r="AA24" s="76">
        <f>13+26.1+1.6+5.4+39.4+186+194.6+65.5+31.3+25.4+4.4+39+33+7.5</f>
        <v>672.19999999999993</v>
      </c>
      <c r="AB24" s="77">
        <v>14</v>
      </c>
      <c r="AC24" s="83">
        <f t="shared" si="9"/>
        <v>48.014285714285712</v>
      </c>
      <c r="AD24" s="79">
        <f t="shared" si="6"/>
        <v>5.6608222592761014E-2</v>
      </c>
      <c r="AE24" s="79">
        <v>0.6</v>
      </c>
      <c r="AF24" s="80">
        <v>0.25</v>
      </c>
      <c r="AG24" s="124">
        <f t="shared" si="7"/>
        <v>6.85</v>
      </c>
      <c r="AH24" s="125">
        <f t="shared" si="8"/>
        <v>58.297872340425528</v>
      </c>
      <c r="AI24" s="204"/>
    </row>
    <row r="25" spans="1:36" x14ac:dyDescent="0.35">
      <c r="A25" s="20" t="s">
        <v>24</v>
      </c>
      <c r="B25" s="151">
        <v>1</v>
      </c>
      <c r="C25" s="152">
        <v>0</v>
      </c>
      <c r="D25" s="153">
        <v>1</v>
      </c>
      <c r="E25" s="154">
        <v>0</v>
      </c>
      <c r="F25" s="155">
        <v>2</v>
      </c>
      <c r="G25" s="156">
        <v>0.5</v>
      </c>
      <c r="H25" s="157">
        <f t="shared" si="13"/>
        <v>4</v>
      </c>
      <c r="I25" s="76">
        <v>3890</v>
      </c>
      <c r="J25" s="158">
        <f>(I25*0.83)</f>
        <v>3228.7</v>
      </c>
      <c r="K25" s="159">
        <f t="shared" si="14"/>
        <v>3.0972217920525291</v>
      </c>
      <c r="L25" s="160" t="s">
        <v>122</v>
      </c>
      <c r="M25" s="79">
        <v>0</v>
      </c>
      <c r="N25" s="162">
        <f t="shared" si="2"/>
        <v>9.2916653761575869</v>
      </c>
      <c r="O25" s="162" t="s">
        <v>122</v>
      </c>
      <c r="P25" s="123">
        <v>0</v>
      </c>
      <c r="Q25" s="76">
        <v>3</v>
      </c>
      <c r="R25" s="77">
        <v>1</v>
      </c>
      <c r="S25" s="83">
        <f t="shared" si="4"/>
        <v>33.333333333333329</v>
      </c>
      <c r="T25" s="79">
        <v>0.25</v>
      </c>
      <c r="U25" s="80">
        <v>0</v>
      </c>
      <c r="V25" s="76">
        <f>90+97+92.75</f>
        <v>279.75</v>
      </c>
      <c r="W25" s="77">
        <v>3</v>
      </c>
      <c r="X25" s="83">
        <f t="shared" si="5"/>
        <v>13.321428571428571</v>
      </c>
      <c r="Y25" s="79">
        <v>0.75</v>
      </c>
      <c r="Z25" s="123">
        <v>0</v>
      </c>
      <c r="AA25" s="76">
        <v>15.2</v>
      </c>
      <c r="AB25" s="77">
        <v>1</v>
      </c>
      <c r="AC25" s="83">
        <f t="shared" si="9"/>
        <v>15.2</v>
      </c>
      <c r="AD25" s="79">
        <f t="shared" si="6"/>
        <v>4.7077771239198438E-3</v>
      </c>
      <c r="AE25" s="79">
        <v>0</v>
      </c>
      <c r="AF25" s="80">
        <v>0.25</v>
      </c>
      <c r="AG25" s="124">
        <f t="shared" si="7"/>
        <v>1.75</v>
      </c>
      <c r="AH25" s="125">
        <f t="shared" si="8"/>
        <v>14.893617021276595</v>
      </c>
      <c r="AI25" s="88"/>
    </row>
    <row r="26" spans="1:36" x14ac:dyDescent="0.35">
      <c r="A26" s="20" t="s">
        <v>25</v>
      </c>
      <c r="B26" s="151">
        <v>3</v>
      </c>
      <c r="C26" s="152">
        <v>0.75</v>
      </c>
      <c r="D26" s="153">
        <v>0</v>
      </c>
      <c r="E26" s="154">
        <v>0</v>
      </c>
      <c r="F26" s="155">
        <v>2</v>
      </c>
      <c r="G26" s="156">
        <v>0.5</v>
      </c>
      <c r="H26" s="157">
        <f t="shared" si="13"/>
        <v>5</v>
      </c>
      <c r="I26" s="76">
        <v>4700</v>
      </c>
      <c r="J26" s="158">
        <f>(I26*0.77)</f>
        <v>3619</v>
      </c>
      <c r="K26" s="159">
        <f t="shared" si="14"/>
        <v>8.2895827576678638</v>
      </c>
      <c r="L26" s="160" t="s">
        <v>122</v>
      </c>
      <c r="M26" s="79">
        <v>0</v>
      </c>
      <c r="N26" s="162">
        <f t="shared" si="2"/>
        <v>5.5263885051119095</v>
      </c>
      <c r="O26" s="162" t="s">
        <v>122</v>
      </c>
      <c r="P26" s="123">
        <v>0</v>
      </c>
      <c r="Q26" s="76">
        <v>5</v>
      </c>
      <c r="R26" s="77">
        <v>2</v>
      </c>
      <c r="S26" s="83">
        <f t="shared" si="4"/>
        <v>40</v>
      </c>
      <c r="T26" s="79">
        <v>0.25</v>
      </c>
      <c r="U26" s="80">
        <v>0</v>
      </c>
      <c r="V26" s="76">
        <f>98+88</f>
        <v>186</v>
      </c>
      <c r="W26" s="77">
        <v>2</v>
      </c>
      <c r="X26" s="83">
        <f t="shared" si="5"/>
        <v>13.285714285714286</v>
      </c>
      <c r="Y26" s="79">
        <v>0.75</v>
      </c>
      <c r="Z26" s="123">
        <v>0</v>
      </c>
      <c r="AA26" s="76">
        <f>27.2+0.4+1.9</f>
        <v>29.499999999999996</v>
      </c>
      <c r="AB26" s="77">
        <v>3</v>
      </c>
      <c r="AC26" s="83">
        <f t="shared" si="9"/>
        <v>9.8333333333333321</v>
      </c>
      <c r="AD26" s="79">
        <f t="shared" si="6"/>
        <v>8.1514230450400651E-3</v>
      </c>
      <c r="AE26" s="79">
        <v>0.1</v>
      </c>
      <c r="AF26" s="80">
        <v>0.25</v>
      </c>
      <c r="AG26" s="124">
        <f t="shared" si="7"/>
        <v>2.6</v>
      </c>
      <c r="AH26" s="125">
        <f t="shared" si="8"/>
        <v>22.127659574468087</v>
      </c>
      <c r="AI26" s="88"/>
    </row>
    <row r="27" spans="1:36" x14ac:dyDescent="0.35">
      <c r="A27" s="20" t="s">
        <v>26</v>
      </c>
      <c r="B27" s="151">
        <v>3</v>
      </c>
      <c r="C27" s="152">
        <v>0.75</v>
      </c>
      <c r="D27" s="153">
        <v>2</v>
      </c>
      <c r="E27" s="154">
        <v>0.25</v>
      </c>
      <c r="F27" s="155">
        <v>6</v>
      </c>
      <c r="G27" s="156">
        <v>1</v>
      </c>
      <c r="H27" s="157">
        <f t="shared" si="13"/>
        <v>11</v>
      </c>
      <c r="I27" s="76">
        <v>3140</v>
      </c>
      <c r="J27" s="158">
        <f>(I27*0.8)</f>
        <v>2512</v>
      </c>
      <c r="K27" s="166">
        <f t="shared" si="14"/>
        <v>11.942675159235668</v>
      </c>
      <c r="L27" s="160">
        <f t="shared" si="10"/>
        <v>2.9540962003074878</v>
      </c>
      <c r="M27" s="79">
        <v>0.5</v>
      </c>
      <c r="N27" s="161">
        <f t="shared" si="2"/>
        <v>31.847133757961785</v>
      </c>
      <c r="O27" s="162">
        <f t="shared" si="3"/>
        <v>20.177863237591652</v>
      </c>
      <c r="P27" s="123">
        <v>0.5</v>
      </c>
      <c r="Q27" s="76">
        <v>9</v>
      </c>
      <c r="R27" s="77">
        <v>4</v>
      </c>
      <c r="S27" s="83">
        <f t="shared" si="4"/>
        <v>44.444444444444443</v>
      </c>
      <c r="T27" s="79">
        <v>0.25</v>
      </c>
      <c r="U27" s="80">
        <v>0</v>
      </c>
      <c r="V27" s="76">
        <f>95+89.5+90.5+91.5+98+49+98+77</f>
        <v>688.5</v>
      </c>
      <c r="W27" s="77">
        <v>8</v>
      </c>
      <c r="X27" s="83">
        <f t="shared" si="5"/>
        <v>12.294642857142858</v>
      </c>
      <c r="Y27" s="79">
        <v>0.5</v>
      </c>
      <c r="Z27" s="123">
        <v>0</v>
      </c>
      <c r="AA27" s="76">
        <f>70+5.2+26.1+5.7</f>
        <v>107.00000000000001</v>
      </c>
      <c r="AB27" s="77">
        <v>4</v>
      </c>
      <c r="AC27" s="83">
        <f t="shared" si="9"/>
        <v>26.750000000000004</v>
      </c>
      <c r="AD27" s="79">
        <f t="shared" si="6"/>
        <v>4.259554140127389E-2</v>
      </c>
      <c r="AE27" s="79">
        <v>0.4</v>
      </c>
      <c r="AF27" s="80">
        <v>0.25</v>
      </c>
      <c r="AG27" s="124">
        <f t="shared" si="7"/>
        <v>4.4000000000000004</v>
      </c>
      <c r="AH27" s="125">
        <f t="shared" si="8"/>
        <v>37.446808510638299</v>
      </c>
      <c r="AI27" s="204"/>
      <c r="AJ27" s="20" t="s">
        <v>270</v>
      </c>
    </row>
    <row r="28" spans="1:36" x14ac:dyDescent="0.35">
      <c r="A28" s="20" t="s">
        <v>27</v>
      </c>
      <c r="B28" s="151">
        <v>1</v>
      </c>
      <c r="C28" s="152">
        <v>0</v>
      </c>
      <c r="D28" s="153">
        <v>0</v>
      </c>
      <c r="E28" s="154">
        <v>0</v>
      </c>
      <c r="F28" s="155">
        <v>1</v>
      </c>
      <c r="G28" s="156">
        <v>0</v>
      </c>
      <c r="H28" s="157">
        <f t="shared" si="13"/>
        <v>2</v>
      </c>
      <c r="I28" s="76">
        <v>1030</v>
      </c>
      <c r="J28" s="165">
        <f>(I28*0.82)</f>
        <v>844.59999999999991</v>
      </c>
      <c r="K28" s="166">
        <f t="shared" si="14"/>
        <v>11.839924224484964</v>
      </c>
      <c r="L28" s="160">
        <f t="shared" si="10"/>
        <v>2.0683122800428055</v>
      </c>
      <c r="M28" s="79">
        <v>0.5</v>
      </c>
      <c r="N28" s="162">
        <f t="shared" si="2"/>
        <v>11.839924224484964</v>
      </c>
      <c r="O28" s="162" t="s">
        <v>122</v>
      </c>
      <c r="P28" s="123">
        <v>0</v>
      </c>
      <c r="Q28" s="76">
        <v>2</v>
      </c>
      <c r="R28" s="77">
        <v>0</v>
      </c>
      <c r="S28" s="83">
        <f t="shared" si="4"/>
        <v>0</v>
      </c>
      <c r="T28" s="79">
        <v>0</v>
      </c>
      <c r="U28" s="80">
        <v>0</v>
      </c>
      <c r="V28" s="76">
        <v>93</v>
      </c>
      <c r="W28" s="77">
        <v>1</v>
      </c>
      <c r="X28" s="83">
        <f t="shared" si="5"/>
        <v>13.285714285714286</v>
      </c>
      <c r="Y28" s="79">
        <v>0.75</v>
      </c>
      <c r="Z28" s="123">
        <v>0</v>
      </c>
      <c r="AA28" s="76">
        <v>14.7</v>
      </c>
      <c r="AB28" s="77">
        <v>1</v>
      </c>
      <c r="AC28" s="83">
        <f t="shared" si="9"/>
        <v>14.7</v>
      </c>
      <c r="AD28" s="79">
        <f t="shared" si="6"/>
        <v>1.7404688609992898E-2</v>
      </c>
      <c r="AE28" s="79">
        <v>0.2</v>
      </c>
      <c r="AF28" s="80">
        <v>0.25</v>
      </c>
      <c r="AG28" s="124">
        <f t="shared" si="7"/>
        <v>1.7</v>
      </c>
      <c r="AH28" s="125">
        <f t="shared" si="8"/>
        <v>14.468085106382977</v>
      </c>
      <c r="AI28" s="88"/>
    </row>
    <row r="29" spans="1:36" x14ac:dyDescent="0.35">
      <c r="A29" s="20" t="s">
        <v>28</v>
      </c>
      <c r="B29" s="151">
        <v>3</v>
      </c>
      <c r="C29" s="152">
        <v>0.75</v>
      </c>
      <c r="D29" s="153">
        <v>0</v>
      </c>
      <c r="E29" s="154">
        <v>0</v>
      </c>
      <c r="F29" s="155">
        <v>3</v>
      </c>
      <c r="G29" s="156">
        <v>0.5</v>
      </c>
      <c r="H29" s="157">
        <f t="shared" si="13"/>
        <v>6</v>
      </c>
      <c r="I29" s="76">
        <v>3830</v>
      </c>
      <c r="J29" s="158">
        <f>(I29*0.83)</f>
        <v>3178.8999999999996</v>
      </c>
      <c r="K29" s="159">
        <f t="shared" si="14"/>
        <v>9.437226713643085</v>
      </c>
      <c r="L29" s="160" t="s">
        <v>122</v>
      </c>
      <c r="M29" s="79">
        <v>0</v>
      </c>
      <c r="N29" s="162">
        <f t="shared" si="2"/>
        <v>9.437226713643085</v>
      </c>
      <c r="O29" s="162" t="s">
        <v>122</v>
      </c>
      <c r="P29" s="123">
        <v>0</v>
      </c>
      <c r="Q29" s="76">
        <v>6</v>
      </c>
      <c r="R29" s="77">
        <v>2</v>
      </c>
      <c r="S29" s="83">
        <f t="shared" si="4"/>
        <v>33.333333333333329</v>
      </c>
      <c r="T29" s="79">
        <v>0.25</v>
      </c>
      <c r="U29" s="80">
        <v>0</v>
      </c>
      <c r="V29" s="76">
        <f>94+100+88</f>
        <v>282</v>
      </c>
      <c r="W29" s="77">
        <v>3</v>
      </c>
      <c r="X29" s="83">
        <f t="shared" si="5"/>
        <v>13.428571428571429</v>
      </c>
      <c r="Y29" s="79">
        <v>0.75</v>
      </c>
      <c r="Z29" s="123">
        <v>0</v>
      </c>
      <c r="AA29" s="76">
        <f>19.7+8+38.6</f>
        <v>66.3</v>
      </c>
      <c r="AB29" s="77">
        <v>3</v>
      </c>
      <c r="AC29" s="83">
        <f t="shared" si="9"/>
        <v>22.099999999999998</v>
      </c>
      <c r="AD29" s="79">
        <f t="shared" si="6"/>
        <v>2.0856271037151219E-2</v>
      </c>
      <c r="AE29" s="79">
        <v>0.2</v>
      </c>
      <c r="AF29" s="80">
        <v>0.25</v>
      </c>
      <c r="AG29" s="124">
        <f t="shared" si="7"/>
        <v>2.7</v>
      </c>
      <c r="AH29" s="125">
        <f t="shared" si="8"/>
        <v>22.978723404255323</v>
      </c>
      <c r="AI29" s="90"/>
      <c r="AJ29" s="20" t="s">
        <v>270</v>
      </c>
    </row>
    <row r="30" spans="1:36" x14ac:dyDescent="0.35">
      <c r="A30" s="20" t="s">
        <v>29</v>
      </c>
      <c r="B30" s="151">
        <v>1</v>
      </c>
      <c r="C30" s="152">
        <v>0</v>
      </c>
      <c r="D30" s="153">
        <v>0</v>
      </c>
      <c r="E30" s="154">
        <v>0</v>
      </c>
      <c r="F30" s="155">
        <v>0</v>
      </c>
      <c r="G30" s="156">
        <v>0</v>
      </c>
      <c r="H30" s="157">
        <f t="shared" ref="H30:H39" si="16">B30+D30+F30</f>
        <v>1</v>
      </c>
      <c r="I30" s="76">
        <v>530</v>
      </c>
      <c r="J30" s="165">
        <f>(I30*0.82)</f>
        <v>434.59999999999997</v>
      </c>
      <c r="K30" s="166">
        <f t="shared" ref="K30:K32" si="17">(B30/J30)*10000</f>
        <v>23.009664058904743</v>
      </c>
      <c r="L30" s="160">
        <f t="shared" ref="L30:L47" si="18">((K30/11.6)-1)*100</f>
        <v>98.359172921592616</v>
      </c>
      <c r="M30" s="79">
        <v>1.25</v>
      </c>
      <c r="N30" s="162">
        <f t="shared" ref="N30:N52" si="19">(D30+F30)/J30*10000</f>
        <v>0</v>
      </c>
      <c r="O30" s="162" t="s">
        <v>122</v>
      </c>
      <c r="P30" s="123">
        <v>0</v>
      </c>
      <c r="Q30" s="76">
        <v>1</v>
      </c>
      <c r="R30" s="77">
        <v>0</v>
      </c>
      <c r="S30" s="83">
        <f t="shared" ref="S30:S52" si="20">(R30/Q30)*100</f>
        <v>0</v>
      </c>
      <c r="T30" s="79">
        <v>0</v>
      </c>
      <c r="U30" s="80">
        <v>0</v>
      </c>
      <c r="V30" s="76">
        <v>0</v>
      </c>
      <c r="W30" s="77" t="s">
        <v>122</v>
      </c>
      <c r="X30" s="83" t="s">
        <v>122</v>
      </c>
      <c r="Y30" s="79">
        <v>0</v>
      </c>
      <c r="Z30" s="123">
        <v>0</v>
      </c>
      <c r="AA30" s="76">
        <v>5.3</v>
      </c>
      <c r="AB30" s="77">
        <v>1</v>
      </c>
      <c r="AC30" s="83">
        <f t="shared" ref="AC30:AC51" si="21">AA30/AB30</f>
        <v>5.3</v>
      </c>
      <c r="AD30" s="79">
        <f t="shared" ref="AD30:AD51" si="22">AA30/J30</f>
        <v>1.2195121951219513E-2</v>
      </c>
      <c r="AE30" s="79">
        <v>0.1</v>
      </c>
      <c r="AF30" s="80">
        <v>0</v>
      </c>
      <c r="AG30" s="124">
        <f t="shared" ref="AG30:AG52" si="23">C30+E30+G30+M30+P30+T30+U30+Y30+Z30+AE30+AF30</f>
        <v>1.35</v>
      </c>
      <c r="AH30" s="125">
        <f t="shared" ref="AH30:AH52" si="24">(AG30/11.75)*100</f>
        <v>11.489361702127662</v>
      </c>
      <c r="AI30" s="88"/>
    </row>
    <row r="31" spans="1:36" x14ac:dyDescent="0.35">
      <c r="A31" s="20" t="s">
        <v>30</v>
      </c>
      <c r="B31" s="151">
        <v>3</v>
      </c>
      <c r="C31" s="152">
        <v>0.75</v>
      </c>
      <c r="D31" s="153">
        <v>2</v>
      </c>
      <c r="E31" s="154">
        <v>0.25</v>
      </c>
      <c r="F31" s="155">
        <v>2</v>
      </c>
      <c r="G31" s="156">
        <v>0.5</v>
      </c>
      <c r="H31" s="157">
        <f t="shared" si="16"/>
        <v>7</v>
      </c>
      <c r="I31" s="76">
        <v>2800</v>
      </c>
      <c r="J31" s="158">
        <f>(I31*0.82)</f>
        <v>2296</v>
      </c>
      <c r="K31" s="166">
        <f t="shared" si="17"/>
        <v>13.066202090592336</v>
      </c>
      <c r="L31" s="160">
        <f t="shared" si="18"/>
        <v>12.639673194761514</v>
      </c>
      <c r="M31" s="79">
        <v>0.5</v>
      </c>
      <c r="N31" s="162">
        <f t="shared" si="19"/>
        <v>17.421602787456447</v>
      </c>
      <c r="O31" s="162" t="s">
        <v>122</v>
      </c>
      <c r="P31" s="123">
        <v>0</v>
      </c>
      <c r="Q31" s="76">
        <v>5</v>
      </c>
      <c r="R31" s="77">
        <v>2</v>
      </c>
      <c r="S31" s="83">
        <f t="shared" si="20"/>
        <v>40</v>
      </c>
      <c r="T31" s="79">
        <v>0.25</v>
      </c>
      <c r="U31" s="80">
        <v>0</v>
      </c>
      <c r="V31" s="76">
        <f>102+93+82.5+57.5</f>
        <v>335</v>
      </c>
      <c r="W31" s="77">
        <v>4</v>
      </c>
      <c r="X31" s="83">
        <f t="shared" ref="X31:X52" si="25">(V31/W31)/7</f>
        <v>11.964285714285714</v>
      </c>
      <c r="Y31" s="79">
        <v>0</v>
      </c>
      <c r="Z31" s="123">
        <v>0</v>
      </c>
      <c r="AA31" s="76">
        <f>40+12.9+24.6</f>
        <v>77.5</v>
      </c>
      <c r="AB31" s="77">
        <v>3</v>
      </c>
      <c r="AC31" s="83">
        <f t="shared" si="21"/>
        <v>25.833333333333332</v>
      </c>
      <c r="AD31" s="79">
        <f t="shared" si="22"/>
        <v>3.3754355400696864E-2</v>
      </c>
      <c r="AE31" s="79">
        <v>0.3</v>
      </c>
      <c r="AF31" s="80">
        <v>0.25</v>
      </c>
      <c r="AG31" s="124">
        <f t="shared" si="23"/>
        <v>2.8</v>
      </c>
      <c r="AH31" s="125">
        <f t="shared" si="24"/>
        <v>23.829787234042552</v>
      </c>
      <c r="AI31" s="90"/>
      <c r="AJ31" s="20" t="s">
        <v>270</v>
      </c>
    </row>
    <row r="32" spans="1:36" x14ac:dyDescent="0.35">
      <c r="A32" s="20" t="s">
        <v>31</v>
      </c>
      <c r="B32" s="151">
        <v>2</v>
      </c>
      <c r="C32" s="152">
        <v>0.75</v>
      </c>
      <c r="D32" s="153">
        <v>1</v>
      </c>
      <c r="E32" s="154">
        <v>0</v>
      </c>
      <c r="F32" s="155">
        <v>1</v>
      </c>
      <c r="G32" s="156">
        <v>0</v>
      </c>
      <c r="H32" s="157">
        <f t="shared" si="16"/>
        <v>4</v>
      </c>
      <c r="I32" s="76">
        <v>620</v>
      </c>
      <c r="J32" s="165">
        <f>(I32*0.82)</f>
        <v>508.4</v>
      </c>
      <c r="K32" s="166">
        <f t="shared" si="17"/>
        <v>39.339103068450036</v>
      </c>
      <c r="L32" s="160">
        <f t="shared" si="18"/>
        <v>239.13019886594861</v>
      </c>
      <c r="M32" s="79">
        <v>1.5</v>
      </c>
      <c r="N32" s="161">
        <f t="shared" si="19"/>
        <v>39.339103068450036</v>
      </c>
      <c r="O32" s="162">
        <f t="shared" ref="O32:O50" si="26">((N32/26.5)-1)*100</f>
        <v>48.449445541320891</v>
      </c>
      <c r="P32" s="123">
        <v>0.75</v>
      </c>
      <c r="Q32" s="76">
        <v>3</v>
      </c>
      <c r="R32" s="77">
        <v>0</v>
      </c>
      <c r="S32" s="83">
        <f t="shared" si="20"/>
        <v>0</v>
      </c>
      <c r="T32" s="79">
        <v>0</v>
      </c>
      <c r="U32" s="80">
        <v>0</v>
      </c>
      <c r="V32" s="76">
        <f>97+86.5</f>
        <v>183.5</v>
      </c>
      <c r="W32" s="77">
        <v>2</v>
      </c>
      <c r="X32" s="83">
        <f t="shared" si="25"/>
        <v>13.107142857142858</v>
      </c>
      <c r="Y32" s="79">
        <v>0.75</v>
      </c>
      <c r="Z32" s="123">
        <v>0</v>
      </c>
      <c r="AA32" s="76">
        <v>12.3</v>
      </c>
      <c r="AB32" s="77">
        <v>1</v>
      </c>
      <c r="AC32" s="83">
        <f t="shared" si="21"/>
        <v>12.3</v>
      </c>
      <c r="AD32" s="79">
        <f t="shared" si="22"/>
        <v>2.4193548387096777E-2</v>
      </c>
      <c r="AE32" s="79">
        <v>0.2</v>
      </c>
      <c r="AF32" s="80">
        <v>0.5</v>
      </c>
      <c r="AG32" s="124">
        <f t="shared" si="23"/>
        <v>4.45</v>
      </c>
      <c r="AH32" s="125">
        <f t="shared" si="24"/>
        <v>37.872340425531917</v>
      </c>
      <c r="AI32" s="90"/>
    </row>
    <row r="33" spans="1:36" x14ac:dyDescent="0.35">
      <c r="A33" s="20" t="s">
        <v>125</v>
      </c>
      <c r="B33" s="151">
        <v>0</v>
      </c>
      <c r="C33" s="152">
        <v>0</v>
      </c>
      <c r="D33" s="153">
        <v>0</v>
      </c>
      <c r="E33" s="154">
        <v>0</v>
      </c>
      <c r="F33" s="155">
        <v>0</v>
      </c>
      <c r="G33" s="156">
        <v>0</v>
      </c>
      <c r="H33" s="157">
        <f t="shared" si="16"/>
        <v>0</v>
      </c>
      <c r="I33" s="76" t="s">
        <v>50</v>
      </c>
      <c r="J33" s="167">
        <f t="shared" ref="J33" si="27">(300*0.82)</f>
        <v>245.99999999999997</v>
      </c>
      <c r="K33" s="159">
        <v>0</v>
      </c>
      <c r="L33" s="160" t="s">
        <v>122</v>
      </c>
      <c r="M33" s="79">
        <v>0</v>
      </c>
      <c r="N33" s="162">
        <v>0</v>
      </c>
      <c r="O33" s="162" t="s">
        <v>122</v>
      </c>
      <c r="P33" s="123">
        <v>0</v>
      </c>
      <c r="Q33" s="76">
        <v>0</v>
      </c>
      <c r="R33" s="77" t="s">
        <v>122</v>
      </c>
      <c r="S33" s="83" t="s">
        <v>122</v>
      </c>
      <c r="T33" s="79">
        <v>0</v>
      </c>
      <c r="U33" s="80">
        <v>0</v>
      </c>
      <c r="V33" s="76">
        <v>0</v>
      </c>
      <c r="W33" s="77" t="s">
        <v>122</v>
      </c>
      <c r="X33" s="83" t="s">
        <v>122</v>
      </c>
      <c r="Y33" s="79">
        <v>0</v>
      </c>
      <c r="Z33" s="123">
        <v>0</v>
      </c>
      <c r="AA33" s="76" t="s">
        <v>122</v>
      </c>
      <c r="AB33" s="77" t="s">
        <v>122</v>
      </c>
      <c r="AC33" s="83" t="s">
        <v>122</v>
      </c>
      <c r="AD33" s="79" t="s">
        <v>122</v>
      </c>
      <c r="AE33" s="79">
        <v>0</v>
      </c>
      <c r="AF33" s="80">
        <v>0</v>
      </c>
      <c r="AG33" s="124">
        <f t="shared" si="23"/>
        <v>0</v>
      </c>
      <c r="AH33" s="125">
        <f t="shared" si="24"/>
        <v>0</v>
      </c>
      <c r="AI33" s="88"/>
    </row>
    <row r="34" spans="1:36" x14ac:dyDescent="0.35">
      <c r="A34" s="20" t="s">
        <v>32</v>
      </c>
      <c r="B34" s="151">
        <v>2</v>
      </c>
      <c r="C34" s="152">
        <v>0.75</v>
      </c>
      <c r="D34" s="153">
        <v>1</v>
      </c>
      <c r="E34" s="154">
        <v>0</v>
      </c>
      <c r="F34" s="155">
        <v>1</v>
      </c>
      <c r="G34" s="156">
        <v>0</v>
      </c>
      <c r="H34" s="157">
        <f t="shared" si="16"/>
        <v>4</v>
      </c>
      <c r="I34" s="76">
        <v>1100</v>
      </c>
      <c r="J34" s="165">
        <f t="shared" ref="J34:J36" si="28">(I34*0.82)</f>
        <v>902</v>
      </c>
      <c r="K34" s="166">
        <f t="shared" ref="K34:K38" si="29">(B34/J34)*10000</f>
        <v>22.172949002217294</v>
      </c>
      <c r="L34" s="160">
        <f t="shared" si="18"/>
        <v>91.146112088080116</v>
      </c>
      <c r="M34" s="79">
        <v>1.25</v>
      </c>
      <c r="N34" s="162">
        <f t="shared" si="19"/>
        <v>22.172949002217294</v>
      </c>
      <c r="O34" s="162" t="s">
        <v>122</v>
      </c>
      <c r="P34" s="123">
        <v>0</v>
      </c>
      <c r="Q34" s="76">
        <v>3</v>
      </c>
      <c r="R34" s="77">
        <v>1</v>
      </c>
      <c r="S34" s="83">
        <f t="shared" si="20"/>
        <v>33.333333333333329</v>
      </c>
      <c r="T34" s="79">
        <v>0.25</v>
      </c>
      <c r="U34" s="80">
        <v>0</v>
      </c>
      <c r="V34" s="76">
        <f>87.5+89.5</f>
        <v>177</v>
      </c>
      <c r="W34" s="77">
        <v>2</v>
      </c>
      <c r="X34" s="83">
        <f t="shared" si="25"/>
        <v>12.642857142857142</v>
      </c>
      <c r="Y34" s="79">
        <v>0.5</v>
      </c>
      <c r="Z34" s="123">
        <v>0</v>
      </c>
      <c r="AA34" s="76">
        <f>13.8+11.2</f>
        <v>25</v>
      </c>
      <c r="AB34" s="77">
        <v>2</v>
      </c>
      <c r="AC34" s="83">
        <f t="shared" si="21"/>
        <v>12.5</v>
      </c>
      <c r="AD34" s="79">
        <f t="shared" si="22"/>
        <v>2.771618625277162E-2</v>
      </c>
      <c r="AE34" s="79">
        <v>0.3</v>
      </c>
      <c r="AF34" s="80">
        <v>0.25</v>
      </c>
      <c r="AG34" s="124">
        <f t="shared" si="23"/>
        <v>3.3</v>
      </c>
      <c r="AH34" s="125">
        <f t="shared" si="24"/>
        <v>28.085106382978719</v>
      </c>
      <c r="AI34" s="90"/>
    </row>
    <row r="35" spans="1:36" x14ac:dyDescent="0.35">
      <c r="A35" s="20" t="s">
        <v>33</v>
      </c>
      <c r="B35" s="151">
        <v>2</v>
      </c>
      <c r="C35" s="152">
        <v>0.75</v>
      </c>
      <c r="D35" s="153">
        <v>2</v>
      </c>
      <c r="E35" s="154">
        <v>0.25</v>
      </c>
      <c r="F35" s="155">
        <v>1</v>
      </c>
      <c r="G35" s="156">
        <v>0</v>
      </c>
      <c r="H35" s="157">
        <f t="shared" si="16"/>
        <v>5</v>
      </c>
      <c r="I35" s="76">
        <v>2530</v>
      </c>
      <c r="J35" s="165">
        <f t="shared" si="28"/>
        <v>2074.6</v>
      </c>
      <c r="K35" s="159">
        <f t="shared" si="29"/>
        <v>9.6404126096596947</v>
      </c>
      <c r="L35" s="160" t="s">
        <v>122</v>
      </c>
      <c r="M35" s="79">
        <v>0</v>
      </c>
      <c r="N35" s="162">
        <f t="shared" si="19"/>
        <v>14.460618914489542</v>
      </c>
      <c r="O35" s="162" t="s">
        <v>122</v>
      </c>
      <c r="P35" s="123">
        <v>0</v>
      </c>
      <c r="Q35" s="76">
        <v>3</v>
      </c>
      <c r="R35" s="77">
        <v>2</v>
      </c>
      <c r="S35" s="83">
        <f t="shared" si="20"/>
        <v>66.666666666666657</v>
      </c>
      <c r="T35" s="79">
        <v>0.5</v>
      </c>
      <c r="U35" s="80">
        <v>0</v>
      </c>
      <c r="V35" s="76">
        <f>91+93+91</f>
        <v>275</v>
      </c>
      <c r="W35" s="77">
        <v>3</v>
      </c>
      <c r="X35" s="83">
        <f t="shared" si="25"/>
        <v>13.095238095238097</v>
      </c>
      <c r="Y35" s="79">
        <v>0.75</v>
      </c>
      <c r="Z35" s="123">
        <v>0</v>
      </c>
      <c r="AA35" s="76">
        <v>27.2</v>
      </c>
      <c r="AB35" s="77">
        <v>1</v>
      </c>
      <c r="AC35" s="83">
        <f t="shared" si="21"/>
        <v>27.2</v>
      </c>
      <c r="AD35" s="79">
        <f t="shared" si="22"/>
        <v>1.3110961149137183E-2</v>
      </c>
      <c r="AE35" s="79">
        <v>0.1</v>
      </c>
      <c r="AF35" s="80">
        <v>0.5</v>
      </c>
      <c r="AG35" s="124">
        <f t="shared" si="23"/>
        <v>2.85</v>
      </c>
      <c r="AH35" s="125">
        <f t="shared" si="24"/>
        <v>24.255319148936174</v>
      </c>
      <c r="AI35" s="88"/>
    </row>
    <row r="36" spans="1:36" x14ac:dyDescent="0.35">
      <c r="A36" s="20" t="s">
        <v>34</v>
      </c>
      <c r="B36" s="151">
        <v>1</v>
      </c>
      <c r="C36" s="152">
        <v>0</v>
      </c>
      <c r="D36" s="153">
        <v>0</v>
      </c>
      <c r="E36" s="154">
        <v>0</v>
      </c>
      <c r="F36" s="155">
        <v>2</v>
      </c>
      <c r="G36" s="156">
        <v>0.5</v>
      </c>
      <c r="H36" s="157">
        <f t="shared" si="16"/>
        <v>3</v>
      </c>
      <c r="I36" s="76">
        <v>3010</v>
      </c>
      <c r="J36" s="165">
        <f t="shared" si="28"/>
        <v>2468.1999999999998</v>
      </c>
      <c r="K36" s="159">
        <f t="shared" si="29"/>
        <v>4.0515355319666151</v>
      </c>
      <c r="L36" s="160" t="s">
        <v>122</v>
      </c>
      <c r="M36" s="79">
        <v>0</v>
      </c>
      <c r="N36" s="162">
        <f t="shared" si="19"/>
        <v>8.1030710639332302</v>
      </c>
      <c r="O36" s="162" t="s">
        <v>122</v>
      </c>
      <c r="P36" s="123">
        <v>0</v>
      </c>
      <c r="Q36" s="76">
        <v>3</v>
      </c>
      <c r="R36" s="77">
        <v>1</v>
      </c>
      <c r="S36" s="83">
        <f t="shared" si="20"/>
        <v>33.333333333333329</v>
      </c>
      <c r="T36" s="79">
        <v>0.25</v>
      </c>
      <c r="U36" s="80">
        <v>0</v>
      </c>
      <c r="V36" s="76">
        <f>89.5+94</f>
        <v>183.5</v>
      </c>
      <c r="W36" s="77">
        <v>2</v>
      </c>
      <c r="X36" s="83">
        <f t="shared" si="25"/>
        <v>13.107142857142858</v>
      </c>
      <c r="Y36" s="79">
        <v>0.75</v>
      </c>
      <c r="Z36" s="123">
        <v>0</v>
      </c>
      <c r="AA36" s="76">
        <v>78.5</v>
      </c>
      <c r="AB36" s="77">
        <v>1</v>
      </c>
      <c r="AC36" s="83">
        <f t="shared" si="21"/>
        <v>78.5</v>
      </c>
      <c r="AD36" s="79">
        <f t="shared" si="22"/>
        <v>3.180455392593793E-2</v>
      </c>
      <c r="AE36" s="79">
        <v>0.3</v>
      </c>
      <c r="AF36" s="80">
        <v>0.25</v>
      </c>
      <c r="AG36" s="124">
        <f t="shared" si="23"/>
        <v>2.0499999999999998</v>
      </c>
      <c r="AH36" s="125">
        <f t="shared" si="24"/>
        <v>17.446808510638295</v>
      </c>
      <c r="AI36" s="88"/>
    </row>
    <row r="37" spans="1:36" x14ac:dyDescent="0.35">
      <c r="A37" s="20" t="s">
        <v>35</v>
      </c>
      <c r="B37" s="151">
        <v>2</v>
      </c>
      <c r="C37" s="152">
        <v>0.75</v>
      </c>
      <c r="D37" s="153">
        <v>2</v>
      </c>
      <c r="E37" s="154">
        <v>0.25</v>
      </c>
      <c r="F37" s="155">
        <v>5</v>
      </c>
      <c r="G37" s="156">
        <v>0.75</v>
      </c>
      <c r="H37" s="157">
        <f t="shared" si="16"/>
        <v>9</v>
      </c>
      <c r="I37" s="76">
        <v>3120</v>
      </c>
      <c r="J37" s="158">
        <f>(I37*0.8)</f>
        <v>2496</v>
      </c>
      <c r="K37" s="159">
        <f t="shared" si="29"/>
        <v>8.0128205128205128</v>
      </c>
      <c r="L37" s="160" t="s">
        <v>122</v>
      </c>
      <c r="M37" s="79">
        <v>0</v>
      </c>
      <c r="N37" s="161">
        <f t="shared" si="19"/>
        <v>28.044871794871796</v>
      </c>
      <c r="O37" s="162">
        <f t="shared" si="26"/>
        <v>5.8297048863086731</v>
      </c>
      <c r="P37" s="123">
        <v>0.5</v>
      </c>
      <c r="Q37" s="76">
        <v>7</v>
      </c>
      <c r="R37" s="77">
        <v>4</v>
      </c>
      <c r="S37" s="83">
        <f t="shared" si="20"/>
        <v>57.142857142857139</v>
      </c>
      <c r="T37" s="79">
        <v>0.5</v>
      </c>
      <c r="U37" s="80">
        <v>0</v>
      </c>
      <c r="V37" s="76">
        <f>91.5+97.5+91+111.5+77+44+105</f>
        <v>617.5</v>
      </c>
      <c r="W37" s="77">
        <v>7</v>
      </c>
      <c r="X37" s="83">
        <f t="shared" si="25"/>
        <v>12.602040816326531</v>
      </c>
      <c r="Y37" s="79">
        <v>0.5</v>
      </c>
      <c r="Z37" s="123">
        <v>0</v>
      </c>
      <c r="AA37" s="76">
        <f>63+20+35.8</f>
        <v>118.8</v>
      </c>
      <c r="AB37" s="77">
        <v>3</v>
      </c>
      <c r="AC37" s="83">
        <f t="shared" si="21"/>
        <v>39.6</v>
      </c>
      <c r="AD37" s="79">
        <f t="shared" si="22"/>
        <v>4.7596153846153844E-2</v>
      </c>
      <c r="AE37" s="79">
        <v>0.5</v>
      </c>
      <c r="AF37" s="80">
        <v>0.25</v>
      </c>
      <c r="AG37" s="124">
        <f t="shared" si="23"/>
        <v>4</v>
      </c>
      <c r="AH37" s="125">
        <f t="shared" si="24"/>
        <v>34.042553191489361</v>
      </c>
      <c r="AI37" s="90"/>
    </row>
    <row r="38" spans="1:36" x14ac:dyDescent="0.35">
      <c r="A38" s="20" t="s">
        <v>36</v>
      </c>
      <c r="B38" s="151">
        <v>17</v>
      </c>
      <c r="C38" s="152">
        <v>2</v>
      </c>
      <c r="D38" s="153">
        <v>16</v>
      </c>
      <c r="E38" s="154">
        <v>1.5</v>
      </c>
      <c r="F38" s="155">
        <v>12</v>
      </c>
      <c r="G38" s="156">
        <v>1.5</v>
      </c>
      <c r="H38" s="157">
        <f t="shared" si="16"/>
        <v>45</v>
      </c>
      <c r="I38" s="76">
        <v>19060</v>
      </c>
      <c r="J38" s="158">
        <f>(I38*0.82)</f>
        <v>15629.199999999999</v>
      </c>
      <c r="K38" s="159">
        <f t="shared" si="29"/>
        <v>10.877076241906176</v>
      </c>
      <c r="L38" s="160" t="s">
        <v>122</v>
      </c>
      <c r="M38" s="79">
        <v>0</v>
      </c>
      <c r="N38" s="162">
        <f t="shared" si="19"/>
        <v>17.915184398433702</v>
      </c>
      <c r="O38" s="162" t="s">
        <v>122</v>
      </c>
      <c r="P38" s="123">
        <v>0</v>
      </c>
      <c r="Q38" s="76">
        <v>29</v>
      </c>
      <c r="R38" s="77">
        <v>19</v>
      </c>
      <c r="S38" s="83">
        <f t="shared" si="20"/>
        <v>65.517241379310349</v>
      </c>
      <c r="T38" s="79">
        <v>0.5</v>
      </c>
      <c r="U38" s="80">
        <v>0</v>
      </c>
      <c r="V38" s="163">
        <f>93+112+111.5+126+63+92+100+104+44.5+90.5+124+101+81.5+49+41+46.5+96.5+76+79+108+54+84+99+112+105+57+98</f>
        <v>2348</v>
      </c>
      <c r="W38" s="164">
        <v>27</v>
      </c>
      <c r="X38" s="126">
        <f t="shared" si="25"/>
        <v>12.423280423280422</v>
      </c>
      <c r="Y38" s="121">
        <v>0.5</v>
      </c>
      <c r="Z38" s="127">
        <v>0.25</v>
      </c>
      <c r="AA38" s="76">
        <f>19.4+18.3+75.2+3.3+216.1+23.4+10.7+148.9+33.7+8.2+4.5+74.6+11+22.3+31.7+20.1+11</f>
        <v>732.40000000000009</v>
      </c>
      <c r="AB38" s="77">
        <v>17</v>
      </c>
      <c r="AC38" s="83">
        <f t="shared" si="21"/>
        <v>43.082352941176474</v>
      </c>
      <c r="AD38" s="79">
        <f t="shared" si="22"/>
        <v>4.6861003762188734E-2</v>
      </c>
      <c r="AE38" s="79">
        <v>0.5</v>
      </c>
      <c r="AF38" s="80">
        <v>0.5</v>
      </c>
      <c r="AG38" s="124">
        <f t="shared" si="23"/>
        <v>7.25</v>
      </c>
      <c r="AH38" s="125">
        <f>(AG38/11.75)*100</f>
        <v>61.702127659574465</v>
      </c>
      <c r="AI38" s="204"/>
    </row>
    <row r="39" spans="1:36" x14ac:dyDescent="0.35">
      <c r="A39" s="20" t="s">
        <v>126</v>
      </c>
      <c r="B39" s="151">
        <v>0</v>
      </c>
      <c r="C39" s="152">
        <v>0</v>
      </c>
      <c r="D39" s="153">
        <v>0</v>
      </c>
      <c r="E39" s="154">
        <v>0</v>
      </c>
      <c r="F39" s="155">
        <v>0</v>
      </c>
      <c r="G39" s="156">
        <v>0</v>
      </c>
      <c r="H39" s="157">
        <f t="shared" si="16"/>
        <v>0</v>
      </c>
      <c r="I39" s="76" t="s">
        <v>50</v>
      </c>
      <c r="J39" s="167">
        <f>(300*0.82)</f>
        <v>245.99999999999997</v>
      </c>
      <c r="K39" s="159">
        <v>0</v>
      </c>
      <c r="L39" s="160" t="s">
        <v>122</v>
      </c>
      <c r="M39" s="79">
        <v>0</v>
      </c>
      <c r="N39" s="162">
        <v>0</v>
      </c>
      <c r="O39" s="162" t="s">
        <v>122</v>
      </c>
      <c r="P39" s="123">
        <v>0</v>
      </c>
      <c r="Q39" s="76">
        <v>0</v>
      </c>
      <c r="R39" s="77" t="s">
        <v>122</v>
      </c>
      <c r="S39" s="83" t="s">
        <v>122</v>
      </c>
      <c r="T39" s="79">
        <v>0</v>
      </c>
      <c r="U39" s="80">
        <v>0</v>
      </c>
      <c r="V39" s="76">
        <v>0</v>
      </c>
      <c r="W39" s="77" t="s">
        <v>122</v>
      </c>
      <c r="X39" s="83" t="s">
        <v>122</v>
      </c>
      <c r="Y39" s="79">
        <v>0</v>
      </c>
      <c r="Z39" s="123">
        <v>0</v>
      </c>
      <c r="AA39" s="76" t="s">
        <v>122</v>
      </c>
      <c r="AB39" s="77" t="s">
        <v>122</v>
      </c>
      <c r="AC39" s="83" t="s">
        <v>122</v>
      </c>
      <c r="AD39" s="79" t="s">
        <v>122</v>
      </c>
      <c r="AE39" s="79">
        <v>0</v>
      </c>
      <c r="AF39" s="80">
        <v>0</v>
      </c>
      <c r="AG39" s="124">
        <f t="shared" si="23"/>
        <v>0</v>
      </c>
      <c r="AH39" s="125">
        <f t="shared" si="24"/>
        <v>0</v>
      </c>
      <c r="AI39" s="88"/>
    </row>
    <row r="40" spans="1:36" x14ac:dyDescent="0.35">
      <c r="A40" s="20" t="s">
        <v>37</v>
      </c>
      <c r="B40" s="151">
        <v>6</v>
      </c>
      <c r="C40" s="152">
        <v>1.25</v>
      </c>
      <c r="D40" s="153">
        <v>1</v>
      </c>
      <c r="E40" s="154">
        <v>0</v>
      </c>
      <c r="F40" s="155">
        <v>5</v>
      </c>
      <c r="G40" s="156">
        <v>0.75</v>
      </c>
      <c r="H40" s="157">
        <f t="shared" ref="H40:H52" si="30">B40+D40+F40</f>
        <v>12</v>
      </c>
      <c r="I40" s="76">
        <v>8940</v>
      </c>
      <c r="J40" s="158">
        <f>(I40*0.79)</f>
        <v>7062.6</v>
      </c>
      <c r="K40" s="159">
        <f t="shared" ref="K40:K52" si="31">(B40/J40)*10000</f>
        <v>8.4954549316115884</v>
      </c>
      <c r="L40" s="160" t="s">
        <v>122</v>
      </c>
      <c r="M40" s="79">
        <v>0</v>
      </c>
      <c r="N40" s="162">
        <f t="shared" si="19"/>
        <v>8.4954549316115884</v>
      </c>
      <c r="O40" s="162" t="s">
        <v>122</v>
      </c>
      <c r="P40" s="123">
        <v>0</v>
      </c>
      <c r="Q40" s="76">
        <v>11</v>
      </c>
      <c r="R40" s="77">
        <v>7</v>
      </c>
      <c r="S40" s="83">
        <f t="shared" si="20"/>
        <v>63.636363636363633</v>
      </c>
      <c r="T40" s="79">
        <v>0.5</v>
      </c>
      <c r="U40" s="80">
        <v>0</v>
      </c>
      <c r="V40" s="76">
        <f>84.5+98+93+93+62.5+74</f>
        <v>505</v>
      </c>
      <c r="W40" s="77">
        <v>6</v>
      </c>
      <c r="X40" s="83">
        <f t="shared" si="25"/>
        <v>12.023809523809524</v>
      </c>
      <c r="Y40" s="79">
        <v>0.5</v>
      </c>
      <c r="Z40" s="123">
        <v>0</v>
      </c>
      <c r="AA40" s="76">
        <f>45.4+2+342.5+27.3+11.3+31.5</f>
        <v>460</v>
      </c>
      <c r="AB40" s="77">
        <v>6</v>
      </c>
      <c r="AC40" s="83">
        <f t="shared" si="21"/>
        <v>76.666666666666671</v>
      </c>
      <c r="AD40" s="79">
        <f t="shared" si="22"/>
        <v>6.5131821142355509E-2</v>
      </c>
      <c r="AE40" s="79">
        <v>0.7</v>
      </c>
      <c r="AF40" s="80">
        <v>0.25</v>
      </c>
      <c r="AG40" s="124">
        <f t="shared" si="23"/>
        <v>3.95</v>
      </c>
      <c r="AH40" s="125">
        <f t="shared" si="24"/>
        <v>33.61702127659575</v>
      </c>
      <c r="AI40" s="90"/>
    </row>
    <row r="41" spans="1:36" x14ac:dyDescent="0.35">
      <c r="A41" s="20" t="s">
        <v>38</v>
      </c>
      <c r="B41" s="151">
        <v>2</v>
      </c>
      <c r="C41" s="152">
        <v>0.75</v>
      </c>
      <c r="D41" s="153">
        <v>2</v>
      </c>
      <c r="E41" s="154">
        <v>0.25</v>
      </c>
      <c r="F41" s="155">
        <v>3</v>
      </c>
      <c r="G41" s="156">
        <v>0.5</v>
      </c>
      <c r="H41" s="157">
        <f t="shared" si="30"/>
        <v>7</v>
      </c>
      <c r="I41" s="76">
        <v>1690</v>
      </c>
      <c r="J41" s="165">
        <f>(I41*0.82)</f>
        <v>1385.8</v>
      </c>
      <c r="K41" s="166">
        <f t="shared" si="31"/>
        <v>14.43209698369173</v>
      </c>
      <c r="L41" s="160">
        <f t="shared" si="18"/>
        <v>24.414629169756296</v>
      </c>
      <c r="M41" s="79">
        <v>0.5</v>
      </c>
      <c r="N41" s="161">
        <f t="shared" si="19"/>
        <v>36.080242459229325</v>
      </c>
      <c r="O41" s="162">
        <f t="shared" si="26"/>
        <v>36.15185833671444</v>
      </c>
      <c r="P41" s="123">
        <v>0.75</v>
      </c>
      <c r="Q41" s="76">
        <v>5</v>
      </c>
      <c r="R41" s="77">
        <v>1</v>
      </c>
      <c r="S41" s="83">
        <f t="shared" si="20"/>
        <v>20</v>
      </c>
      <c r="T41" s="79">
        <v>0</v>
      </c>
      <c r="U41" s="80">
        <v>0</v>
      </c>
      <c r="V41" s="76">
        <f>95.5+89+40+84+93</f>
        <v>401.5</v>
      </c>
      <c r="W41" s="77">
        <v>5</v>
      </c>
      <c r="X41" s="83">
        <f t="shared" si="25"/>
        <v>11.471428571428572</v>
      </c>
      <c r="Y41" s="79">
        <v>0.25</v>
      </c>
      <c r="Z41" s="123">
        <v>0</v>
      </c>
      <c r="AA41" s="76">
        <f>254.2+12.7+10.8</f>
        <v>277.7</v>
      </c>
      <c r="AB41" s="77">
        <v>3</v>
      </c>
      <c r="AC41" s="83">
        <f t="shared" si="21"/>
        <v>92.566666666666663</v>
      </c>
      <c r="AD41" s="79">
        <f t="shared" si="22"/>
        <v>0.20038966661855967</v>
      </c>
      <c r="AE41" s="79">
        <v>2</v>
      </c>
      <c r="AF41" s="80">
        <v>0.25</v>
      </c>
      <c r="AG41" s="124">
        <f t="shared" si="23"/>
        <v>5.25</v>
      </c>
      <c r="AH41" s="125">
        <f t="shared" si="24"/>
        <v>44.680851063829785</v>
      </c>
      <c r="AI41" s="90"/>
    </row>
    <row r="42" spans="1:36" x14ac:dyDescent="0.35">
      <c r="A42" s="20" t="s">
        <v>39</v>
      </c>
      <c r="B42" s="151">
        <v>1</v>
      </c>
      <c r="C42" s="152">
        <v>0</v>
      </c>
      <c r="D42" s="153">
        <v>0</v>
      </c>
      <c r="E42" s="154">
        <v>0</v>
      </c>
      <c r="F42" s="155">
        <v>1</v>
      </c>
      <c r="G42" s="156">
        <v>0</v>
      </c>
      <c r="H42" s="157">
        <f t="shared" si="30"/>
        <v>2</v>
      </c>
      <c r="I42" s="76">
        <v>1230</v>
      </c>
      <c r="J42" s="165">
        <f>(I42*0.82)</f>
        <v>1008.5999999999999</v>
      </c>
      <c r="K42" s="159">
        <f t="shared" si="31"/>
        <v>9.9147332936744004</v>
      </c>
      <c r="L42" s="160" t="s">
        <v>122</v>
      </c>
      <c r="M42" s="79">
        <v>0</v>
      </c>
      <c r="N42" s="162">
        <f t="shared" si="19"/>
        <v>9.9147332936744004</v>
      </c>
      <c r="O42" s="162" t="s">
        <v>122</v>
      </c>
      <c r="P42" s="123">
        <v>0</v>
      </c>
      <c r="Q42" s="76">
        <v>2</v>
      </c>
      <c r="R42" s="77">
        <v>0</v>
      </c>
      <c r="S42" s="83">
        <f t="shared" si="20"/>
        <v>0</v>
      </c>
      <c r="T42" s="79">
        <v>0</v>
      </c>
      <c r="U42" s="80">
        <v>0</v>
      </c>
      <c r="V42" s="76">
        <v>98</v>
      </c>
      <c r="W42" s="77">
        <v>1</v>
      </c>
      <c r="X42" s="83">
        <f t="shared" si="25"/>
        <v>14</v>
      </c>
      <c r="Y42" s="79">
        <v>0.75</v>
      </c>
      <c r="Z42" s="123">
        <v>0</v>
      </c>
      <c r="AA42" s="76">
        <v>7.9</v>
      </c>
      <c r="AB42" s="77">
        <v>1</v>
      </c>
      <c r="AC42" s="83">
        <f t="shared" si="21"/>
        <v>7.9</v>
      </c>
      <c r="AD42" s="79">
        <f t="shared" si="22"/>
        <v>7.8326393020027776E-3</v>
      </c>
      <c r="AE42" s="79">
        <v>0.1</v>
      </c>
      <c r="AF42" s="80">
        <v>0.25</v>
      </c>
      <c r="AG42" s="124">
        <f t="shared" si="23"/>
        <v>1.1000000000000001</v>
      </c>
      <c r="AH42" s="125">
        <f t="shared" si="24"/>
        <v>9.3617021276595747</v>
      </c>
      <c r="AI42" s="88"/>
    </row>
    <row r="43" spans="1:36" x14ac:dyDescent="0.35">
      <c r="A43" s="20" t="s">
        <v>40</v>
      </c>
      <c r="B43" s="151">
        <v>1</v>
      </c>
      <c r="C43" s="152">
        <v>0</v>
      </c>
      <c r="D43" s="153">
        <v>2</v>
      </c>
      <c r="E43" s="154">
        <v>0.25</v>
      </c>
      <c r="F43" s="155">
        <v>0</v>
      </c>
      <c r="G43" s="156">
        <v>0</v>
      </c>
      <c r="H43" s="157">
        <f t="shared" si="30"/>
        <v>3</v>
      </c>
      <c r="I43" s="76">
        <v>860</v>
      </c>
      <c r="J43" s="165">
        <f t="shared" ref="J43" si="32">(I43*0.82)</f>
        <v>705.19999999999993</v>
      </c>
      <c r="K43" s="166">
        <f t="shared" si="31"/>
        <v>14.180374361883155</v>
      </c>
      <c r="L43" s="160">
        <f t="shared" si="18"/>
        <v>22.244606567958236</v>
      </c>
      <c r="M43" s="79">
        <v>0.5</v>
      </c>
      <c r="N43" s="161">
        <f t="shared" si="19"/>
        <v>28.36074872376631</v>
      </c>
      <c r="O43" s="162">
        <f t="shared" si="26"/>
        <v>7.0216932972313684</v>
      </c>
      <c r="P43" s="123">
        <v>0.5</v>
      </c>
      <c r="Q43" s="76">
        <v>1</v>
      </c>
      <c r="R43" s="77">
        <v>1</v>
      </c>
      <c r="S43" s="83">
        <f t="shared" si="20"/>
        <v>100</v>
      </c>
      <c r="T43" s="79">
        <v>1</v>
      </c>
      <c r="U43" s="80">
        <v>0</v>
      </c>
      <c r="V43" s="76">
        <f>44.5+30</f>
        <v>74.5</v>
      </c>
      <c r="W43" s="77">
        <v>2</v>
      </c>
      <c r="X43" s="83">
        <f t="shared" si="25"/>
        <v>5.3214285714285712</v>
      </c>
      <c r="Y43" s="79">
        <v>0</v>
      </c>
      <c r="Z43" s="123">
        <v>0</v>
      </c>
      <c r="AA43" s="76">
        <v>2.9</v>
      </c>
      <c r="AB43" s="77">
        <v>1</v>
      </c>
      <c r="AC43" s="83">
        <f t="shared" si="21"/>
        <v>2.9</v>
      </c>
      <c r="AD43" s="79">
        <f t="shared" si="22"/>
        <v>4.1123085649461145E-3</v>
      </c>
      <c r="AE43" s="79">
        <v>0</v>
      </c>
      <c r="AF43" s="80">
        <v>0</v>
      </c>
      <c r="AG43" s="124">
        <f t="shared" si="23"/>
        <v>2.25</v>
      </c>
      <c r="AH43" s="125">
        <f t="shared" si="24"/>
        <v>19.148936170212767</v>
      </c>
      <c r="AI43" s="90"/>
      <c r="AJ43" s="20" t="s">
        <v>270</v>
      </c>
    </row>
    <row r="44" spans="1:36" x14ac:dyDescent="0.35">
      <c r="A44" s="20" t="s">
        <v>41</v>
      </c>
      <c r="B44" s="151">
        <v>1</v>
      </c>
      <c r="C44" s="152">
        <v>0</v>
      </c>
      <c r="D44" s="153">
        <v>1</v>
      </c>
      <c r="E44" s="154">
        <v>0</v>
      </c>
      <c r="F44" s="155">
        <v>0</v>
      </c>
      <c r="G44" s="156">
        <v>0</v>
      </c>
      <c r="H44" s="157">
        <f t="shared" si="30"/>
        <v>2</v>
      </c>
      <c r="I44" s="76">
        <v>1130</v>
      </c>
      <c r="J44" s="165">
        <f>(I44*0.82)</f>
        <v>926.59999999999991</v>
      </c>
      <c r="K44" s="159">
        <f t="shared" si="31"/>
        <v>10.792143319663285</v>
      </c>
      <c r="L44" s="160" t="s">
        <v>122</v>
      </c>
      <c r="M44" s="79">
        <v>0</v>
      </c>
      <c r="N44" s="162">
        <f t="shared" si="19"/>
        <v>10.792143319663285</v>
      </c>
      <c r="O44" s="162" t="s">
        <v>122</v>
      </c>
      <c r="P44" s="123">
        <v>0</v>
      </c>
      <c r="Q44" s="76">
        <v>1</v>
      </c>
      <c r="R44" s="77">
        <v>1</v>
      </c>
      <c r="S44" s="83">
        <f t="shared" si="20"/>
        <v>100</v>
      </c>
      <c r="T44" s="79">
        <v>1</v>
      </c>
      <c r="U44" s="80">
        <v>0</v>
      </c>
      <c r="V44" s="76">
        <v>92</v>
      </c>
      <c r="W44" s="77">
        <v>1</v>
      </c>
      <c r="X44" s="83">
        <f t="shared" si="25"/>
        <v>13.142857142857142</v>
      </c>
      <c r="Y44" s="79">
        <v>0.75</v>
      </c>
      <c r="Z44" s="123">
        <v>0</v>
      </c>
      <c r="AA44" s="76">
        <v>9.1999999999999993</v>
      </c>
      <c r="AB44" s="77">
        <v>1</v>
      </c>
      <c r="AC44" s="83">
        <f t="shared" si="21"/>
        <v>9.1999999999999993</v>
      </c>
      <c r="AD44" s="79">
        <f t="shared" si="22"/>
        <v>9.9287718540902233E-3</v>
      </c>
      <c r="AE44" s="79">
        <v>0.1</v>
      </c>
      <c r="AF44" s="80">
        <v>0</v>
      </c>
      <c r="AG44" s="124">
        <f t="shared" si="23"/>
        <v>1.85</v>
      </c>
      <c r="AH44" s="125">
        <f t="shared" si="24"/>
        <v>15.74468085106383</v>
      </c>
      <c r="AI44" s="88"/>
    </row>
    <row r="45" spans="1:36" x14ac:dyDescent="0.35">
      <c r="A45" s="20" t="s">
        <v>42</v>
      </c>
      <c r="B45" s="151">
        <v>10</v>
      </c>
      <c r="C45" s="152">
        <v>1.75</v>
      </c>
      <c r="D45" s="153">
        <v>11</v>
      </c>
      <c r="E45" s="154">
        <v>1.25</v>
      </c>
      <c r="F45" s="155">
        <v>10</v>
      </c>
      <c r="G45" s="156">
        <v>1.5</v>
      </c>
      <c r="H45" s="157">
        <f t="shared" si="30"/>
        <v>31</v>
      </c>
      <c r="I45" s="76">
        <v>11150</v>
      </c>
      <c r="J45" s="158">
        <f>(I45*0.84)</f>
        <v>9366</v>
      </c>
      <c r="K45" s="159">
        <f t="shared" si="31"/>
        <v>10.676916506512919</v>
      </c>
      <c r="L45" s="160" t="s">
        <v>122</v>
      </c>
      <c r="M45" s="79">
        <v>0</v>
      </c>
      <c r="N45" s="162">
        <f t="shared" si="19"/>
        <v>22.421524663677129</v>
      </c>
      <c r="O45" s="162" t="s">
        <v>122</v>
      </c>
      <c r="P45" s="123">
        <v>0</v>
      </c>
      <c r="Q45" s="76">
        <v>20</v>
      </c>
      <c r="R45" s="77">
        <v>10</v>
      </c>
      <c r="S45" s="83">
        <f t="shared" si="20"/>
        <v>50</v>
      </c>
      <c r="T45" s="79">
        <v>0.5</v>
      </c>
      <c r="U45" s="80">
        <v>0</v>
      </c>
      <c r="V45" s="76">
        <f>87.5+91+93+95+40.5+55.5+94+97+58+98+89.5+41.5+56.5+98+98+42+43+77+88+95.5+38.5</f>
        <v>1577</v>
      </c>
      <c r="W45" s="77">
        <v>21</v>
      </c>
      <c r="X45" s="83">
        <f t="shared" si="25"/>
        <v>10.727891156462587</v>
      </c>
      <c r="Y45" s="79">
        <v>0</v>
      </c>
      <c r="Z45" s="123">
        <v>0</v>
      </c>
      <c r="AA45" s="76">
        <f>25.5+20+58.2+24.3+46.9+24.9+7.6+1.4+17</f>
        <v>225.8</v>
      </c>
      <c r="AB45" s="77">
        <v>9</v>
      </c>
      <c r="AC45" s="83">
        <f t="shared" si="21"/>
        <v>25.088888888888889</v>
      </c>
      <c r="AD45" s="79">
        <f t="shared" si="22"/>
        <v>2.4108477471706174E-2</v>
      </c>
      <c r="AE45" s="79">
        <v>0.2</v>
      </c>
      <c r="AF45" s="80">
        <v>0.5</v>
      </c>
      <c r="AG45" s="124">
        <f t="shared" si="23"/>
        <v>5.7</v>
      </c>
      <c r="AH45" s="125">
        <f t="shared" si="24"/>
        <v>48.510638297872347</v>
      </c>
      <c r="AI45" s="90"/>
      <c r="AJ45" s="20" t="s">
        <v>271</v>
      </c>
    </row>
    <row r="46" spans="1:36" x14ac:dyDescent="0.35">
      <c r="A46" s="20" t="s">
        <v>43</v>
      </c>
      <c r="B46" s="151">
        <v>2</v>
      </c>
      <c r="C46" s="152">
        <v>0.75</v>
      </c>
      <c r="D46" s="153">
        <v>0</v>
      </c>
      <c r="E46" s="154">
        <v>0</v>
      </c>
      <c r="F46" s="155">
        <v>2</v>
      </c>
      <c r="G46" s="156">
        <v>0.5</v>
      </c>
      <c r="H46" s="157">
        <f t="shared" si="30"/>
        <v>4</v>
      </c>
      <c r="I46" s="76">
        <v>940</v>
      </c>
      <c r="J46" s="165">
        <f>(I46*0.82)</f>
        <v>770.8</v>
      </c>
      <c r="K46" s="166">
        <f t="shared" si="31"/>
        <v>25.94706798131811</v>
      </c>
      <c r="L46" s="160">
        <f t="shared" si="18"/>
        <v>123.68162052860438</v>
      </c>
      <c r="M46" s="79">
        <v>1.5</v>
      </c>
      <c r="N46" s="162">
        <f t="shared" si="19"/>
        <v>25.94706798131811</v>
      </c>
      <c r="O46" s="162" t="s">
        <v>122</v>
      </c>
      <c r="P46" s="123">
        <v>0</v>
      </c>
      <c r="Q46" s="76">
        <v>4</v>
      </c>
      <c r="R46" s="77">
        <v>3</v>
      </c>
      <c r="S46" s="83">
        <f t="shared" si="20"/>
        <v>75</v>
      </c>
      <c r="T46" s="79">
        <v>0.75</v>
      </c>
      <c r="U46" s="80">
        <v>0</v>
      </c>
      <c r="V46" s="76">
        <f>88.5+95.5</f>
        <v>184</v>
      </c>
      <c r="W46" s="77">
        <v>2</v>
      </c>
      <c r="X46" s="83">
        <f t="shared" si="25"/>
        <v>13.142857142857142</v>
      </c>
      <c r="Y46" s="79">
        <v>0.75</v>
      </c>
      <c r="Z46" s="123">
        <v>0</v>
      </c>
      <c r="AA46" s="76">
        <f>21.6+33.7</f>
        <v>55.300000000000004</v>
      </c>
      <c r="AB46" s="77">
        <v>2</v>
      </c>
      <c r="AC46" s="83">
        <f t="shared" si="21"/>
        <v>27.650000000000002</v>
      </c>
      <c r="AD46" s="79">
        <f t="shared" si="22"/>
        <v>7.1743642968344581E-2</v>
      </c>
      <c r="AE46" s="79">
        <v>0.7</v>
      </c>
      <c r="AF46" s="80">
        <v>0.25</v>
      </c>
      <c r="AG46" s="124">
        <f t="shared" si="23"/>
        <v>5.2</v>
      </c>
      <c r="AH46" s="125">
        <f t="shared" si="24"/>
        <v>44.255319148936174</v>
      </c>
      <c r="AI46" s="90"/>
    </row>
    <row r="47" spans="1:36" x14ac:dyDescent="0.35">
      <c r="A47" s="20" t="s">
        <v>44</v>
      </c>
      <c r="B47" s="151">
        <v>2</v>
      </c>
      <c r="C47" s="152">
        <v>0.75</v>
      </c>
      <c r="D47" s="153">
        <v>0</v>
      </c>
      <c r="E47" s="154">
        <v>0</v>
      </c>
      <c r="F47" s="155">
        <v>3</v>
      </c>
      <c r="G47" s="156">
        <v>0.5</v>
      </c>
      <c r="H47" s="157">
        <f t="shared" si="30"/>
        <v>5</v>
      </c>
      <c r="I47" s="76">
        <v>690</v>
      </c>
      <c r="J47" s="165">
        <f>(I47*0.82)</f>
        <v>565.79999999999995</v>
      </c>
      <c r="K47" s="166">
        <f t="shared" si="31"/>
        <v>35.348179568752215</v>
      </c>
      <c r="L47" s="160">
        <f t="shared" si="18"/>
        <v>204.7256859375191</v>
      </c>
      <c r="M47" s="79">
        <v>1.5</v>
      </c>
      <c r="N47" s="161">
        <f t="shared" si="19"/>
        <v>53.022269353128316</v>
      </c>
      <c r="O47" s="162">
        <f t="shared" si="26"/>
        <v>100.08403529482383</v>
      </c>
      <c r="P47" s="123">
        <v>1.5</v>
      </c>
      <c r="Q47" s="76">
        <v>5</v>
      </c>
      <c r="R47" s="77">
        <v>1</v>
      </c>
      <c r="S47" s="83">
        <f t="shared" si="20"/>
        <v>20</v>
      </c>
      <c r="T47" s="79">
        <v>0</v>
      </c>
      <c r="U47" s="80">
        <v>0</v>
      </c>
      <c r="V47" s="76">
        <f>88+83+86</f>
        <v>257</v>
      </c>
      <c r="W47" s="77">
        <v>3</v>
      </c>
      <c r="X47" s="83">
        <f t="shared" si="25"/>
        <v>12.238095238095239</v>
      </c>
      <c r="Y47" s="79">
        <v>0.5</v>
      </c>
      <c r="Z47" s="123">
        <v>0</v>
      </c>
      <c r="AA47" s="76">
        <v>6.7</v>
      </c>
      <c r="AB47" s="77">
        <v>2</v>
      </c>
      <c r="AC47" s="83">
        <f t="shared" si="21"/>
        <v>3.35</v>
      </c>
      <c r="AD47" s="79">
        <f t="shared" si="22"/>
        <v>1.1841640155531991E-2</v>
      </c>
      <c r="AE47" s="79">
        <v>0.1</v>
      </c>
      <c r="AF47" s="80">
        <v>0.25</v>
      </c>
      <c r="AG47" s="124">
        <f t="shared" si="23"/>
        <v>5.0999999999999996</v>
      </c>
      <c r="AH47" s="125">
        <f t="shared" si="24"/>
        <v>43.40425531914893</v>
      </c>
      <c r="AI47" s="90"/>
    </row>
    <row r="48" spans="1:36" x14ac:dyDescent="0.35">
      <c r="A48" s="20" t="s">
        <v>45</v>
      </c>
      <c r="B48" s="151">
        <v>1</v>
      </c>
      <c r="C48" s="152">
        <v>0</v>
      </c>
      <c r="D48" s="153">
        <v>0</v>
      </c>
      <c r="E48" s="154">
        <v>0</v>
      </c>
      <c r="F48" s="155">
        <v>1</v>
      </c>
      <c r="G48" s="156">
        <v>0</v>
      </c>
      <c r="H48" s="157">
        <f t="shared" si="30"/>
        <v>2</v>
      </c>
      <c r="I48" s="76">
        <v>1080</v>
      </c>
      <c r="J48" s="165">
        <f>(I48*0.82)</f>
        <v>885.59999999999991</v>
      </c>
      <c r="K48" s="159">
        <f t="shared" si="31"/>
        <v>11.291779584462512</v>
      </c>
      <c r="L48" s="160" t="s">
        <v>122</v>
      </c>
      <c r="M48" s="79">
        <v>0</v>
      </c>
      <c r="N48" s="162">
        <f t="shared" si="19"/>
        <v>11.291779584462512</v>
      </c>
      <c r="O48" s="162" t="s">
        <v>122</v>
      </c>
      <c r="P48" s="123">
        <v>0</v>
      </c>
      <c r="Q48" s="76">
        <v>2</v>
      </c>
      <c r="R48" s="77">
        <v>1</v>
      </c>
      <c r="S48" s="83">
        <f t="shared" si="20"/>
        <v>50</v>
      </c>
      <c r="T48" s="79">
        <v>0.5</v>
      </c>
      <c r="U48" s="80">
        <v>0</v>
      </c>
      <c r="V48" s="76">
        <v>92</v>
      </c>
      <c r="W48" s="77">
        <v>1</v>
      </c>
      <c r="X48" s="83">
        <f t="shared" si="25"/>
        <v>13.142857142857142</v>
      </c>
      <c r="Y48" s="79">
        <v>0.75</v>
      </c>
      <c r="Z48" s="123">
        <v>0</v>
      </c>
      <c r="AA48" s="76">
        <v>21.8</v>
      </c>
      <c r="AB48" s="77">
        <v>1</v>
      </c>
      <c r="AC48" s="83">
        <f t="shared" si="21"/>
        <v>21.8</v>
      </c>
      <c r="AD48" s="79">
        <f t="shared" si="22"/>
        <v>2.4616079494128279E-2</v>
      </c>
      <c r="AE48" s="79">
        <v>0.2</v>
      </c>
      <c r="AF48" s="80">
        <v>0.25</v>
      </c>
      <c r="AG48" s="124">
        <f t="shared" si="23"/>
        <v>1.7</v>
      </c>
      <c r="AH48" s="125">
        <f t="shared" si="24"/>
        <v>14.468085106382977</v>
      </c>
      <c r="AI48" s="88"/>
    </row>
    <row r="49" spans="1:36" x14ac:dyDescent="0.35">
      <c r="A49" s="20" t="s">
        <v>173</v>
      </c>
      <c r="B49" s="151">
        <v>0</v>
      </c>
      <c r="C49" s="152">
        <v>0</v>
      </c>
      <c r="D49" s="153">
        <v>0</v>
      </c>
      <c r="E49" s="154">
        <v>0</v>
      </c>
      <c r="F49" s="155">
        <v>0</v>
      </c>
      <c r="G49" s="156">
        <v>0</v>
      </c>
      <c r="H49" s="157">
        <f t="shared" si="30"/>
        <v>0</v>
      </c>
      <c r="I49" s="76" t="s">
        <v>50</v>
      </c>
      <c r="J49" s="167">
        <f>(300*0.82)</f>
        <v>245.99999999999997</v>
      </c>
      <c r="K49" s="159">
        <v>0</v>
      </c>
      <c r="L49" s="160" t="s">
        <v>122</v>
      </c>
      <c r="M49" s="79">
        <v>0</v>
      </c>
      <c r="N49" s="162" t="s">
        <v>122</v>
      </c>
      <c r="O49" s="162">
        <v>0</v>
      </c>
      <c r="P49" s="123">
        <v>0</v>
      </c>
      <c r="Q49" s="76">
        <v>0</v>
      </c>
      <c r="R49" s="77" t="s">
        <v>122</v>
      </c>
      <c r="S49" s="83" t="s">
        <v>122</v>
      </c>
      <c r="T49" s="79">
        <v>0</v>
      </c>
      <c r="U49" s="80">
        <v>0</v>
      </c>
      <c r="V49" s="76">
        <v>0</v>
      </c>
      <c r="W49" s="77" t="s">
        <v>122</v>
      </c>
      <c r="X49" s="83" t="s">
        <v>122</v>
      </c>
      <c r="Y49" s="79">
        <v>0</v>
      </c>
      <c r="Z49" s="123">
        <v>0</v>
      </c>
      <c r="AA49" s="76" t="s">
        <v>122</v>
      </c>
      <c r="AB49" s="77" t="s">
        <v>122</v>
      </c>
      <c r="AC49" s="83" t="s">
        <v>122</v>
      </c>
      <c r="AD49" s="79" t="s">
        <v>122</v>
      </c>
      <c r="AE49" s="79">
        <v>0</v>
      </c>
      <c r="AF49" s="80">
        <v>0</v>
      </c>
      <c r="AG49" s="128">
        <v>0</v>
      </c>
      <c r="AH49" s="129">
        <v>0</v>
      </c>
      <c r="AI49" s="88"/>
    </row>
    <row r="50" spans="1:36" x14ac:dyDescent="0.35">
      <c r="A50" s="20" t="s">
        <v>46</v>
      </c>
      <c r="B50" s="151">
        <v>4</v>
      </c>
      <c r="C50" s="152">
        <v>1</v>
      </c>
      <c r="D50" s="153">
        <v>2</v>
      </c>
      <c r="E50" s="154">
        <v>0.25</v>
      </c>
      <c r="F50" s="155">
        <v>10</v>
      </c>
      <c r="G50" s="156">
        <v>1.5</v>
      </c>
      <c r="H50" s="157">
        <f t="shared" si="30"/>
        <v>16</v>
      </c>
      <c r="I50" s="76">
        <v>4700</v>
      </c>
      <c r="J50" s="158">
        <f>(I50*0.84)</f>
        <v>3948</v>
      </c>
      <c r="K50" s="159">
        <f t="shared" si="31"/>
        <v>10.131712259371835</v>
      </c>
      <c r="L50" s="160" t="s">
        <v>122</v>
      </c>
      <c r="M50" s="79">
        <v>0</v>
      </c>
      <c r="N50" s="161">
        <f t="shared" si="19"/>
        <v>30.3951367781155</v>
      </c>
      <c r="O50" s="162">
        <f t="shared" si="26"/>
        <v>14.698629351379244</v>
      </c>
      <c r="P50" s="123">
        <v>0.5</v>
      </c>
      <c r="Q50" s="163">
        <v>13</v>
      </c>
      <c r="R50" s="164">
        <v>1</v>
      </c>
      <c r="S50" s="126">
        <f t="shared" si="20"/>
        <v>7.6923076923076925</v>
      </c>
      <c r="T50" s="121">
        <v>0</v>
      </c>
      <c r="U50" s="122">
        <v>0.5</v>
      </c>
      <c r="V50" s="163">
        <f>95.5+97+91+56+94.5+98+98+56+84+85+9</f>
        <v>864</v>
      </c>
      <c r="W50" s="164">
        <v>11</v>
      </c>
      <c r="X50" s="126">
        <f t="shared" si="25"/>
        <v>11.220779220779221</v>
      </c>
      <c r="Y50" s="121">
        <v>0.25</v>
      </c>
      <c r="Z50" s="127">
        <v>0.25</v>
      </c>
      <c r="AA50" s="76">
        <f>10.4+18.3+29.3+51.5</f>
        <v>109.5</v>
      </c>
      <c r="AB50" s="77">
        <v>4</v>
      </c>
      <c r="AC50" s="83">
        <f t="shared" si="21"/>
        <v>27.375</v>
      </c>
      <c r="AD50" s="79">
        <f t="shared" si="22"/>
        <v>2.7735562310030396E-2</v>
      </c>
      <c r="AE50" s="79">
        <v>0.3</v>
      </c>
      <c r="AF50" s="80">
        <v>0.25</v>
      </c>
      <c r="AG50" s="124">
        <f t="shared" si="23"/>
        <v>4.8</v>
      </c>
      <c r="AH50" s="125">
        <f t="shared" si="24"/>
        <v>40.851063829787229</v>
      </c>
      <c r="AI50" s="90"/>
    </row>
    <row r="51" spans="1:36" x14ac:dyDescent="0.35">
      <c r="A51" s="20" t="s">
        <v>47</v>
      </c>
      <c r="B51" s="151">
        <v>10</v>
      </c>
      <c r="C51" s="152">
        <v>1.75</v>
      </c>
      <c r="D51" s="153">
        <v>2</v>
      </c>
      <c r="E51" s="154">
        <v>0.25</v>
      </c>
      <c r="F51" s="155">
        <v>5</v>
      </c>
      <c r="G51" s="156">
        <v>0.75</v>
      </c>
      <c r="H51" s="157">
        <f t="shared" si="30"/>
        <v>17</v>
      </c>
      <c r="I51" s="76">
        <v>12110</v>
      </c>
      <c r="J51" s="158">
        <f>(I51*0.81)</f>
        <v>9809.1</v>
      </c>
      <c r="K51" s="159">
        <f t="shared" si="31"/>
        <v>10.194615204249114</v>
      </c>
      <c r="L51" s="160" t="s">
        <v>122</v>
      </c>
      <c r="M51" s="79">
        <v>0</v>
      </c>
      <c r="N51" s="162">
        <f t="shared" si="19"/>
        <v>7.1362306429743807</v>
      </c>
      <c r="O51" s="162" t="s">
        <v>122</v>
      </c>
      <c r="P51" s="123">
        <v>0</v>
      </c>
      <c r="Q51" s="76">
        <v>15</v>
      </c>
      <c r="R51" s="77">
        <v>8</v>
      </c>
      <c r="S51" s="83">
        <f t="shared" si="20"/>
        <v>53.333333333333336</v>
      </c>
      <c r="T51" s="79">
        <v>0.5</v>
      </c>
      <c r="U51" s="80">
        <v>0</v>
      </c>
      <c r="V51" s="76">
        <f>95+85.5+92+92.5+92.25+86+90</f>
        <v>633.25</v>
      </c>
      <c r="W51" s="77">
        <v>7</v>
      </c>
      <c r="X51" s="83">
        <f t="shared" si="25"/>
        <v>12.923469387755102</v>
      </c>
      <c r="Y51" s="79">
        <v>0.5</v>
      </c>
      <c r="Z51" s="123">
        <v>0</v>
      </c>
      <c r="AA51" s="76">
        <f>252.7+50+29.4+264.2+51.3+2.5+21.3+49.2+23.2</f>
        <v>743.8</v>
      </c>
      <c r="AB51" s="77">
        <v>9</v>
      </c>
      <c r="AC51" s="83">
        <f t="shared" si="21"/>
        <v>82.644444444444446</v>
      </c>
      <c r="AD51" s="79">
        <f t="shared" si="22"/>
        <v>7.5827547889204913E-2</v>
      </c>
      <c r="AE51" s="79">
        <v>0.8</v>
      </c>
      <c r="AF51" s="80">
        <v>0.5</v>
      </c>
      <c r="AG51" s="124">
        <f t="shared" si="23"/>
        <v>5.05</v>
      </c>
      <c r="AH51" s="125">
        <f t="shared" si="24"/>
        <v>42.978723404255319</v>
      </c>
      <c r="AI51" s="204"/>
      <c r="AJ51" s="20" t="s">
        <v>270</v>
      </c>
    </row>
    <row r="52" spans="1:36" ht="15" thickBot="1" x14ac:dyDescent="0.4">
      <c r="A52" s="20" t="s">
        <v>48</v>
      </c>
      <c r="B52" s="168">
        <v>0</v>
      </c>
      <c r="C52" s="169">
        <v>0</v>
      </c>
      <c r="D52" s="170">
        <v>0</v>
      </c>
      <c r="E52" s="171">
        <v>0</v>
      </c>
      <c r="F52" s="172">
        <v>2</v>
      </c>
      <c r="G52" s="173">
        <v>0.5</v>
      </c>
      <c r="H52" s="174">
        <f t="shared" si="30"/>
        <v>2</v>
      </c>
      <c r="I52" s="96">
        <v>990</v>
      </c>
      <c r="J52" s="175">
        <f>(I52*0.82)</f>
        <v>811.8</v>
      </c>
      <c r="K52" s="176">
        <f t="shared" si="31"/>
        <v>0</v>
      </c>
      <c r="L52" s="177" t="s">
        <v>122</v>
      </c>
      <c r="M52" s="99">
        <v>0</v>
      </c>
      <c r="N52" s="178">
        <f t="shared" si="19"/>
        <v>24.636610002463662</v>
      </c>
      <c r="O52" s="178" t="s">
        <v>122</v>
      </c>
      <c r="P52" s="130">
        <v>0</v>
      </c>
      <c r="Q52" s="96">
        <v>2</v>
      </c>
      <c r="R52" s="97">
        <v>0</v>
      </c>
      <c r="S52" s="103">
        <f t="shared" si="20"/>
        <v>0</v>
      </c>
      <c r="T52" s="99">
        <v>0</v>
      </c>
      <c r="U52" s="100">
        <v>0</v>
      </c>
      <c r="V52" s="96">
        <f>94.5+94.5</f>
        <v>189</v>
      </c>
      <c r="W52" s="97">
        <v>2</v>
      </c>
      <c r="X52" s="103">
        <f t="shared" si="25"/>
        <v>13.5</v>
      </c>
      <c r="Y52" s="99">
        <v>0.75</v>
      </c>
      <c r="Z52" s="130">
        <v>0</v>
      </c>
      <c r="AA52" s="131" t="s">
        <v>132</v>
      </c>
      <c r="AB52" s="132" t="s">
        <v>132</v>
      </c>
      <c r="AC52" s="133" t="s">
        <v>132</v>
      </c>
      <c r="AD52" s="134" t="s">
        <v>132</v>
      </c>
      <c r="AE52" s="134">
        <v>0.25</v>
      </c>
      <c r="AF52" s="135">
        <v>0.25</v>
      </c>
      <c r="AG52" s="136">
        <f t="shared" si="23"/>
        <v>1.75</v>
      </c>
      <c r="AH52" s="137">
        <f t="shared" si="24"/>
        <v>14.893617021276595</v>
      </c>
      <c r="AI52" s="108"/>
    </row>
    <row r="53" spans="1:36" x14ac:dyDescent="0.35">
      <c r="B53" s="3"/>
      <c r="C53" s="3"/>
      <c r="D53" s="3"/>
      <c r="E53" s="3"/>
      <c r="F53" s="3"/>
      <c r="G53" s="3"/>
      <c r="H53" s="3"/>
      <c r="I53" s="3"/>
      <c r="J53" s="4"/>
      <c r="K53" s="4"/>
      <c r="L53" s="4"/>
      <c r="M53" s="4"/>
      <c r="N53" s="4"/>
      <c r="O53" s="4"/>
      <c r="P53" s="4"/>
      <c r="Q53" s="4"/>
    </row>
    <row r="54" spans="1:36" x14ac:dyDescent="0.35">
      <c r="A54" s="109" t="s">
        <v>59</v>
      </c>
      <c r="B54" s="354" t="s">
        <v>171</v>
      </c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6"/>
    </row>
    <row r="55" spans="1:36" x14ac:dyDescent="0.35">
      <c r="A55" s="416" t="s">
        <v>54</v>
      </c>
      <c r="B55" s="419" t="s">
        <v>55</v>
      </c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7"/>
    </row>
    <row r="56" spans="1:36" x14ac:dyDescent="0.35">
      <c r="A56" s="417"/>
      <c r="B56" s="420" t="s">
        <v>56</v>
      </c>
      <c r="C56" s="420"/>
      <c r="D56" s="420"/>
      <c r="E56" s="420"/>
      <c r="F56" s="420"/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8"/>
    </row>
    <row r="57" spans="1:36" x14ac:dyDescent="0.35">
      <c r="A57" s="418"/>
      <c r="B57" s="421" t="s">
        <v>57</v>
      </c>
      <c r="C57" s="421"/>
      <c r="D57" s="421"/>
      <c r="E57" s="421"/>
      <c r="F57" s="421"/>
      <c r="G57" s="421"/>
      <c r="H57" s="421"/>
      <c r="I57" s="421"/>
      <c r="J57" s="421"/>
      <c r="K57" s="421"/>
      <c r="L57" s="421"/>
      <c r="M57" s="421"/>
      <c r="N57" s="421"/>
      <c r="O57" s="421"/>
      <c r="P57" s="421"/>
      <c r="Q57" s="9"/>
    </row>
    <row r="58" spans="1:36" x14ac:dyDescent="0.35">
      <c r="A58" s="139" t="s">
        <v>117</v>
      </c>
      <c r="B58" s="354" t="s">
        <v>118</v>
      </c>
      <c r="C58" s="354"/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10"/>
    </row>
    <row r="59" spans="1:36" x14ac:dyDescent="0.35">
      <c r="A59" s="138"/>
      <c r="B59" s="422" t="s">
        <v>170</v>
      </c>
      <c r="C59" s="423"/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4"/>
    </row>
    <row r="60" spans="1:36" x14ac:dyDescent="0.35">
      <c r="A60" s="52"/>
      <c r="B60" s="353" t="s">
        <v>326</v>
      </c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</row>
    <row r="61" spans="1:36" x14ac:dyDescent="0.35">
      <c r="A61" s="53"/>
      <c r="B61" s="353" t="s">
        <v>327</v>
      </c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</row>
    <row r="62" spans="1:36" x14ac:dyDescent="0.35">
      <c r="A62" s="54"/>
      <c r="B62" s="353" t="s">
        <v>328</v>
      </c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/>
    </row>
    <row r="63" spans="1:36" x14ac:dyDescent="0.35">
      <c r="A63" s="55"/>
      <c r="B63" s="353" t="s">
        <v>329</v>
      </c>
      <c r="C63" s="353"/>
      <c r="D63" s="353"/>
      <c r="E63" s="353"/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/>
    </row>
    <row r="64" spans="1:36" x14ac:dyDescent="0.35">
      <c r="A64" s="56"/>
      <c r="B64" s="353" t="s">
        <v>330</v>
      </c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/>
    </row>
  </sheetData>
  <mergeCells count="22">
    <mergeCell ref="AJ3:AJ4"/>
    <mergeCell ref="B64:P64"/>
    <mergeCell ref="B63:P63"/>
    <mergeCell ref="B59:P59"/>
    <mergeCell ref="B61:P61"/>
    <mergeCell ref="B60:P60"/>
    <mergeCell ref="B62:P62"/>
    <mergeCell ref="B58:P58"/>
    <mergeCell ref="Q3:U3"/>
    <mergeCell ref="AA3:AF3"/>
    <mergeCell ref="V3:Z3"/>
    <mergeCell ref="B3:H3"/>
    <mergeCell ref="I3:J3"/>
    <mergeCell ref="K3:P3"/>
    <mergeCell ref="AG3:AG4"/>
    <mergeCell ref="AH3:AH4"/>
    <mergeCell ref="AI3:AI4"/>
    <mergeCell ref="A55:A57"/>
    <mergeCell ref="B55:P55"/>
    <mergeCell ref="B56:P56"/>
    <mergeCell ref="B57:P57"/>
    <mergeCell ref="B54:P54"/>
  </mergeCells>
  <conditionalFormatting sqref="AH6:AH52">
    <cfRule type="cellIs" dxfId="9" priority="1" operator="between">
      <formula>75</formula>
      <formula>100</formula>
    </cfRule>
    <cfRule type="cellIs" dxfId="8" priority="2" operator="between">
      <formula>56</formula>
      <formula>74.99</formula>
    </cfRule>
    <cfRule type="cellIs" dxfId="7" priority="3" operator="between">
      <formula>45</formula>
      <formula>55.99</formula>
    </cfRule>
    <cfRule type="cellIs" dxfId="6" priority="4" operator="between">
      <formula>25.01</formula>
      <formula>44.99</formula>
    </cfRule>
    <cfRule type="cellIs" dxfId="5" priority="5" operator="between">
      <formula>0</formula>
      <formula>25</formula>
    </cfRule>
  </conditionalFormatting>
  <pageMargins left="0.7" right="0.7" top="0.75" bottom="0.75" header="0.3" footer="0.3"/>
  <ignoredErrors>
    <ignoredError sqref="J7 J21 J24 J18:J20 J17 J26 J30 J37 J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D6180-0222-4CAD-BAD6-F7EC5C0A468A}">
  <sheetPr>
    <tabColor rgb="FFFFBDBD"/>
  </sheetPr>
  <dimension ref="A1:AH69"/>
  <sheetViews>
    <sheetView topLeftCell="A23" zoomScale="67" zoomScaleNormal="96" workbookViewId="0">
      <selection activeCell="W36" sqref="W36:AA36"/>
    </sheetView>
  </sheetViews>
  <sheetFormatPr defaultRowHeight="14.5" x14ac:dyDescent="0.35"/>
  <cols>
    <col min="7" max="7" width="1.81640625" customWidth="1"/>
    <col min="13" max="13" width="8.81640625" customWidth="1"/>
    <col min="14" max="14" width="1.81640625" customWidth="1"/>
    <col min="19" max="19" width="8.7265625" customWidth="1"/>
    <col min="20" max="20" width="8.81640625" customWidth="1"/>
    <col min="21" max="21" width="1.81640625" customWidth="1"/>
    <col min="28" max="28" width="1.81640625" customWidth="1"/>
    <col min="31" max="31" width="11" customWidth="1"/>
  </cols>
  <sheetData>
    <row r="1" spans="1:34" ht="18.5" thickBot="1" x14ac:dyDescent="0.4">
      <c r="A1" s="344" t="s">
        <v>204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6"/>
    </row>
    <row r="2" spans="1:34" ht="19" thickBot="1" x14ac:dyDescent="0.5">
      <c r="A2" s="5"/>
    </row>
    <row r="3" spans="1:34" ht="16" thickBot="1" x14ac:dyDescent="0.4">
      <c r="A3" s="403" t="s">
        <v>162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5"/>
    </row>
    <row r="4" spans="1:34" ht="15" thickBot="1" x14ac:dyDescent="0.4"/>
    <row r="5" spans="1:34" ht="15" thickBot="1" x14ac:dyDescent="0.4">
      <c r="A5" s="224" t="s">
        <v>205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6"/>
      <c r="AC5" s="16"/>
      <c r="AD5" s="16"/>
      <c r="AE5" s="16"/>
      <c r="AF5" s="16"/>
      <c r="AG5" s="16"/>
      <c r="AH5" s="17"/>
    </row>
    <row r="7" spans="1:34" ht="39.5" customHeight="1" x14ac:dyDescent="0.35">
      <c r="A7" s="303" t="s">
        <v>60</v>
      </c>
      <c r="B7" s="290" t="s">
        <v>206</v>
      </c>
      <c r="C7" s="278"/>
      <c r="D7" s="278"/>
      <c r="E7" s="278"/>
      <c r="F7" s="278"/>
      <c r="G7" s="43"/>
      <c r="H7" s="277" t="s">
        <v>71</v>
      </c>
      <c r="I7" s="290" t="s">
        <v>265</v>
      </c>
      <c r="J7" s="278"/>
      <c r="K7" s="278"/>
      <c r="L7" s="278"/>
      <c r="M7" s="278"/>
      <c r="N7" s="43"/>
      <c r="O7" s="277" t="s">
        <v>73</v>
      </c>
      <c r="P7" s="278" t="s">
        <v>321</v>
      </c>
      <c r="Q7" s="278"/>
      <c r="R7" s="278"/>
      <c r="S7" s="278"/>
      <c r="T7" s="278"/>
      <c r="U7" s="43"/>
      <c r="V7" s="274" t="s">
        <v>80</v>
      </c>
      <c r="W7" s="294" t="s">
        <v>207</v>
      </c>
      <c r="X7" s="294"/>
      <c r="Y7" s="294"/>
      <c r="Z7" s="294"/>
      <c r="AA7" s="294"/>
    </row>
    <row r="8" spans="1:34" x14ac:dyDescent="0.35">
      <c r="A8" s="304"/>
      <c r="B8" s="214" t="s">
        <v>174</v>
      </c>
      <c r="C8" s="284" t="s">
        <v>67</v>
      </c>
      <c r="D8" s="285"/>
      <c r="E8" s="285"/>
      <c r="F8" s="286"/>
      <c r="G8" s="43"/>
      <c r="H8" s="277"/>
      <c r="I8" s="214" t="s">
        <v>174</v>
      </c>
      <c r="J8" s="279" t="s">
        <v>67</v>
      </c>
      <c r="K8" s="279"/>
      <c r="L8" s="279"/>
      <c r="M8" s="279"/>
      <c r="N8" s="43"/>
      <c r="O8" s="277"/>
      <c r="P8" s="44" t="s">
        <v>174</v>
      </c>
      <c r="Q8" s="279" t="s">
        <v>67</v>
      </c>
      <c r="R8" s="279"/>
      <c r="S8" s="279"/>
      <c r="T8" s="279"/>
      <c r="U8" s="43"/>
      <c r="V8" s="275"/>
      <c r="W8" s="44" t="s">
        <v>208</v>
      </c>
      <c r="X8" s="284" t="s">
        <v>83</v>
      </c>
      <c r="Y8" s="285"/>
      <c r="Z8" s="285"/>
      <c r="AA8" s="286"/>
    </row>
    <row r="9" spans="1:34" x14ac:dyDescent="0.35">
      <c r="A9" s="305"/>
      <c r="B9" s="215" t="s">
        <v>175</v>
      </c>
      <c r="C9" s="279" t="s">
        <v>83</v>
      </c>
      <c r="D9" s="279"/>
      <c r="E9" s="279"/>
      <c r="F9" s="279"/>
      <c r="G9" s="43"/>
      <c r="H9" s="277"/>
      <c r="I9" s="214" t="s">
        <v>175</v>
      </c>
      <c r="J9" s="279" t="s">
        <v>83</v>
      </c>
      <c r="K9" s="279"/>
      <c r="L9" s="279"/>
      <c r="M9" s="279"/>
      <c r="N9" s="43"/>
      <c r="O9" s="277"/>
      <c r="P9" s="216" t="s">
        <v>175</v>
      </c>
      <c r="Q9" s="279" t="s">
        <v>83</v>
      </c>
      <c r="R9" s="279"/>
      <c r="S9" s="279"/>
      <c r="T9" s="279"/>
      <c r="U9" s="43"/>
      <c r="V9" s="275"/>
      <c r="W9" s="44" t="s">
        <v>208</v>
      </c>
      <c r="X9" s="284" t="s">
        <v>64</v>
      </c>
      <c r="Y9" s="285"/>
      <c r="Z9" s="285"/>
      <c r="AA9" s="286"/>
    </row>
    <row r="10" spans="1:34" ht="28" customHeight="1" x14ac:dyDescent="0.35">
      <c r="A10" s="277" t="s">
        <v>59</v>
      </c>
      <c r="B10" s="306" t="s">
        <v>198</v>
      </c>
      <c r="C10" s="306"/>
      <c r="D10" s="306"/>
      <c r="E10" s="306"/>
      <c r="F10" s="306"/>
      <c r="G10" s="43"/>
      <c r="H10" s="277" t="s">
        <v>59</v>
      </c>
      <c r="I10" s="289" t="s">
        <v>194</v>
      </c>
      <c r="J10" s="289"/>
      <c r="K10" s="289"/>
      <c r="L10" s="289"/>
      <c r="M10" s="290"/>
      <c r="N10" s="43"/>
      <c r="O10" s="217"/>
      <c r="P10" s="110"/>
      <c r="Q10" s="43"/>
      <c r="R10" s="43"/>
      <c r="S10" s="43"/>
      <c r="T10" s="43"/>
      <c r="U10" s="43"/>
      <c r="V10" s="275"/>
      <c r="W10" s="192" t="s">
        <v>106</v>
      </c>
      <c r="X10" s="394" t="s">
        <v>211</v>
      </c>
      <c r="Y10" s="394"/>
      <c r="Z10" s="394"/>
      <c r="AA10" s="394"/>
    </row>
    <row r="11" spans="1:34" x14ac:dyDescent="0.35">
      <c r="A11" s="277"/>
      <c r="B11" s="218" t="s">
        <v>193</v>
      </c>
      <c r="C11" s="268" t="s">
        <v>67</v>
      </c>
      <c r="D11" s="268"/>
      <c r="E11" s="268"/>
      <c r="F11" s="268"/>
      <c r="G11" s="43"/>
      <c r="H11" s="277"/>
      <c r="I11" s="220">
        <v>0</v>
      </c>
      <c r="J11" s="268" t="s">
        <v>67</v>
      </c>
      <c r="K11" s="268"/>
      <c r="L11" s="268"/>
      <c r="M11" s="268"/>
      <c r="N11" s="43"/>
      <c r="O11" s="217"/>
      <c r="P11" s="110"/>
      <c r="Q11" s="43"/>
      <c r="R11" s="43"/>
      <c r="S11" s="43"/>
      <c r="T11" s="43"/>
      <c r="U11" s="43"/>
      <c r="V11" s="275"/>
      <c r="W11" s="44" t="s">
        <v>209</v>
      </c>
      <c r="X11" s="279" t="s">
        <v>66</v>
      </c>
      <c r="Y11" s="279"/>
      <c r="Z11" s="279"/>
      <c r="AA11" s="279"/>
    </row>
    <row r="12" spans="1:34" x14ac:dyDescent="0.35">
      <c r="A12" s="277"/>
      <c r="B12" s="218">
        <v>0.1</v>
      </c>
      <c r="C12" s="268" t="s">
        <v>99</v>
      </c>
      <c r="D12" s="268"/>
      <c r="E12" s="268"/>
      <c r="F12" s="268"/>
      <c r="G12" s="43"/>
      <c r="H12" s="277"/>
      <c r="I12" s="220">
        <v>1</v>
      </c>
      <c r="J12" s="268" t="s">
        <v>99</v>
      </c>
      <c r="K12" s="268"/>
      <c r="L12" s="268"/>
      <c r="M12" s="268"/>
      <c r="N12" s="43"/>
      <c r="O12" s="217"/>
      <c r="P12" s="110"/>
      <c r="Q12" s="43"/>
      <c r="R12" s="43"/>
      <c r="S12" s="43"/>
      <c r="T12" s="43"/>
      <c r="U12" s="43"/>
      <c r="V12" s="275"/>
      <c r="W12" s="44" t="s">
        <v>210</v>
      </c>
      <c r="X12" s="279" t="s">
        <v>212</v>
      </c>
      <c r="Y12" s="279"/>
      <c r="Z12" s="279"/>
      <c r="AA12" s="279"/>
    </row>
    <row r="13" spans="1:34" x14ac:dyDescent="0.35">
      <c r="A13" s="277"/>
      <c r="B13" s="218">
        <v>0.2</v>
      </c>
      <c r="C13" s="268" t="s">
        <v>97</v>
      </c>
      <c r="D13" s="268"/>
      <c r="E13" s="268"/>
      <c r="F13" s="268"/>
      <c r="G13" s="43"/>
      <c r="H13" s="277"/>
      <c r="I13" s="220">
        <v>2</v>
      </c>
      <c r="J13" s="268" t="s">
        <v>97</v>
      </c>
      <c r="K13" s="268"/>
      <c r="L13" s="268"/>
      <c r="M13" s="268"/>
      <c r="N13" s="43"/>
      <c r="O13" s="217"/>
      <c r="P13" s="110"/>
      <c r="Q13" s="43"/>
      <c r="R13" s="43"/>
      <c r="S13" s="43"/>
      <c r="T13" s="43"/>
      <c r="U13" s="43"/>
      <c r="V13" s="276"/>
      <c r="W13" s="44" t="s">
        <v>107</v>
      </c>
      <c r="X13" s="279" t="s">
        <v>72</v>
      </c>
      <c r="Y13" s="279"/>
      <c r="Z13" s="279"/>
      <c r="AA13" s="279"/>
    </row>
    <row r="14" spans="1:34" x14ac:dyDescent="0.35">
      <c r="A14" s="277"/>
      <c r="B14" s="218">
        <v>0.3</v>
      </c>
      <c r="C14" s="268" t="s">
        <v>95</v>
      </c>
      <c r="D14" s="268"/>
      <c r="E14" s="268"/>
      <c r="F14" s="268"/>
      <c r="G14" s="43"/>
      <c r="H14" s="277"/>
      <c r="I14" s="220">
        <v>3</v>
      </c>
      <c r="J14" s="268" t="s">
        <v>95</v>
      </c>
      <c r="K14" s="268"/>
      <c r="L14" s="268"/>
      <c r="M14" s="268"/>
      <c r="N14" s="43"/>
      <c r="O14" s="217"/>
      <c r="P14" s="110"/>
      <c r="Q14" s="43"/>
      <c r="R14" s="43"/>
      <c r="S14" s="43"/>
      <c r="T14" s="43"/>
      <c r="U14" s="43"/>
      <c r="V14" s="273" t="s">
        <v>59</v>
      </c>
      <c r="W14" s="287" t="s">
        <v>213</v>
      </c>
      <c r="X14" s="287"/>
      <c r="Y14" s="287"/>
      <c r="Z14" s="287"/>
      <c r="AA14" s="288"/>
    </row>
    <row r="15" spans="1:34" x14ac:dyDescent="0.35">
      <c r="A15" s="277"/>
      <c r="B15" s="218">
        <v>0.4</v>
      </c>
      <c r="C15" s="280" t="s">
        <v>94</v>
      </c>
      <c r="D15" s="281"/>
      <c r="E15" s="281"/>
      <c r="F15" s="282"/>
      <c r="G15" s="43"/>
      <c r="H15" s="277"/>
      <c r="I15" s="219">
        <v>4</v>
      </c>
      <c r="J15" s="268" t="s">
        <v>94</v>
      </c>
      <c r="K15" s="268"/>
      <c r="L15" s="268"/>
      <c r="M15" s="268"/>
      <c r="N15" s="43"/>
      <c r="O15" s="221"/>
      <c r="P15" s="110"/>
      <c r="Q15" s="110"/>
      <c r="R15" s="110"/>
      <c r="S15" s="110"/>
      <c r="T15" s="110"/>
      <c r="U15" s="43"/>
      <c r="V15" s="273"/>
      <c r="W15" s="218" t="s">
        <v>107</v>
      </c>
      <c r="X15" s="268" t="s">
        <v>72</v>
      </c>
      <c r="Y15" s="268"/>
      <c r="Z15" s="268"/>
      <c r="AA15" s="268"/>
    </row>
    <row r="16" spans="1:34" x14ac:dyDescent="0.35">
      <c r="A16" s="277"/>
      <c r="B16" s="218">
        <v>0.5</v>
      </c>
      <c r="C16" s="280" t="s">
        <v>66</v>
      </c>
      <c r="D16" s="281"/>
      <c r="E16" s="281"/>
      <c r="F16" s="282"/>
      <c r="G16" s="43"/>
      <c r="H16" s="277"/>
      <c r="I16" s="219">
        <v>5</v>
      </c>
      <c r="J16" s="268" t="s">
        <v>66</v>
      </c>
      <c r="K16" s="268"/>
      <c r="L16" s="268"/>
      <c r="M16" s="268"/>
      <c r="N16" s="43"/>
      <c r="O16" s="221"/>
      <c r="P16" s="110"/>
      <c r="Q16" s="110"/>
      <c r="R16" s="110"/>
      <c r="S16" s="110"/>
      <c r="T16" s="110"/>
      <c r="U16" s="43"/>
      <c r="V16" s="273"/>
      <c r="W16" s="218" t="s">
        <v>209</v>
      </c>
      <c r="X16" s="268" t="s">
        <v>72</v>
      </c>
      <c r="Y16" s="268"/>
      <c r="Z16" s="268"/>
      <c r="AA16" s="268"/>
    </row>
    <row r="17" spans="1:34" x14ac:dyDescent="0.35">
      <c r="A17" s="277"/>
      <c r="B17" s="218">
        <v>0.6</v>
      </c>
      <c r="C17" s="280" t="s">
        <v>93</v>
      </c>
      <c r="D17" s="281"/>
      <c r="E17" s="281"/>
      <c r="F17" s="282"/>
      <c r="G17" s="43"/>
      <c r="H17" s="277"/>
      <c r="I17" s="219">
        <v>6</v>
      </c>
      <c r="J17" s="268" t="s">
        <v>93</v>
      </c>
      <c r="K17" s="268"/>
      <c r="L17" s="268"/>
      <c r="M17" s="268"/>
      <c r="N17" s="43"/>
      <c r="O17" s="221"/>
      <c r="P17" s="110"/>
      <c r="Q17" s="110"/>
      <c r="R17" s="110"/>
      <c r="S17" s="110"/>
      <c r="T17" s="110"/>
      <c r="U17" s="43"/>
      <c r="V17" s="43"/>
      <c r="W17" s="43"/>
      <c r="X17" s="43"/>
      <c r="Y17" s="43"/>
      <c r="Z17" s="43"/>
      <c r="AA17" s="43"/>
    </row>
    <row r="18" spans="1:34" x14ac:dyDescent="0.35">
      <c r="A18" s="277"/>
      <c r="B18" s="218">
        <v>0.7</v>
      </c>
      <c r="C18" s="280" t="s">
        <v>92</v>
      </c>
      <c r="D18" s="281"/>
      <c r="E18" s="281"/>
      <c r="F18" s="282"/>
      <c r="G18" s="43"/>
      <c r="H18" s="277"/>
      <c r="I18" s="219">
        <v>7</v>
      </c>
      <c r="J18" s="268" t="s">
        <v>92</v>
      </c>
      <c r="K18" s="268"/>
      <c r="L18" s="268"/>
      <c r="M18" s="268"/>
      <c r="N18" s="43"/>
      <c r="O18" s="221"/>
      <c r="P18" s="110"/>
      <c r="Q18" s="110"/>
      <c r="R18" s="110"/>
      <c r="S18" s="110"/>
      <c r="T18" s="110"/>
      <c r="U18" s="43"/>
      <c r="V18" s="43"/>
      <c r="W18" s="43"/>
      <c r="X18" s="43"/>
      <c r="Y18" s="43"/>
      <c r="Z18" s="43"/>
      <c r="AA18" s="43"/>
    </row>
    <row r="19" spans="1:34" x14ac:dyDescent="0.35">
      <c r="A19" s="277"/>
      <c r="B19" s="218">
        <v>0.8</v>
      </c>
      <c r="C19" s="280" t="s">
        <v>91</v>
      </c>
      <c r="D19" s="281"/>
      <c r="E19" s="281"/>
      <c r="F19" s="282"/>
      <c r="G19" s="43"/>
      <c r="H19" s="277"/>
      <c r="I19" s="219">
        <v>8</v>
      </c>
      <c r="J19" s="268" t="s">
        <v>91</v>
      </c>
      <c r="K19" s="268"/>
      <c r="L19" s="268"/>
      <c r="M19" s="268"/>
      <c r="N19" s="43"/>
      <c r="O19" s="221"/>
      <c r="P19" s="110"/>
      <c r="Q19" s="110"/>
      <c r="R19" s="110"/>
      <c r="S19" s="110"/>
      <c r="T19" s="110"/>
      <c r="U19" s="43"/>
      <c r="V19" s="43"/>
      <c r="W19" s="43"/>
      <c r="X19" s="43"/>
      <c r="Y19" s="43"/>
      <c r="Z19" s="43"/>
      <c r="AA19" s="43"/>
    </row>
    <row r="20" spans="1:34" x14ac:dyDescent="0.35">
      <c r="A20" s="277"/>
      <c r="B20" s="218">
        <v>0.9</v>
      </c>
      <c r="C20" s="280" t="s">
        <v>90</v>
      </c>
      <c r="D20" s="281"/>
      <c r="E20" s="281"/>
      <c r="F20" s="282"/>
      <c r="G20" s="43"/>
      <c r="H20" s="277"/>
      <c r="I20" s="219">
        <v>9</v>
      </c>
      <c r="J20" s="268" t="s">
        <v>90</v>
      </c>
      <c r="K20" s="268"/>
      <c r="L20" s="268"/>
      <c r="M20" s="268"/>
      <c r="N20" s="43"/>
      <c r="O20" s="221"/>
      <c r="P20" s="110"/>
      <c r="Q20" s="110"/>
      <c r="R20" s="110"/>
      <c r="S20" s="110"/>
      <c r="T20" s="110"/>
      <c r="U20" s="43"/>
      <c r="V20" s="43"/>
      <c r="W20" s="43"/>
      <c r="X20" s="43"/>
      <c r="Y20" s="43"/>
      <c r="Z20" s="43"/>
      <c r="AA20" s="43"/>
    </row>
    <row r="21" spans="1:34" x14ac:dyDescent="0.35">
      <c r="A21" s="277"/>
      <c r="B21" s="218">
        <v>1</v>
      </c>
      <c r="C21" s="280" t="s">
        <v>83</v>
      </c>
      <c r="D21" s="281"/>
      <c r="E21" s="281"/>
      <c r="F21" s="282"/>
      <c r="G21" s="43"/>
      <c r="H21" s="277"/>
      <c r="I21" s="219">
        <v>10</v>
      </c>
      <c r="J21" s="268" t="s">
        <v>83</v>
      </c>
      <c r="K21" s="268"/>
      <c r="L21" s="268"/>
      <c r="M21" s="268"/>
      <c r="N21" s="43"/>
      <c r="O21" s="221"/>
      <c r="P21" s="110"/>
      <c r="Q21" s="110"/>
      <c r="R21" s="110"/>
      <c r="S21" s="110"/>
      <c r="T21" s="110"/>
      <c r="U21" s="43"/>
      <c r="V21" s="43"/>
      <c r="W21" s="43"/>
      <c r="X21" s="43"/>
      <c r="Y21" s="43"/>
      <c r="Z21" s="43"/>
      <c r="AA21" s="43"/>
    </row>
    <row r="22" spans="1:34" x14ac:dyDescent="0.3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</row>
    <row r="23" spans="1:34" x14ac:dyDescent="0.35">
      <c r="A23" s="269" t="s">
        <v>77</v>
      </c>
      <c r="B23" s="269"/>
      <c r="C23" s="269"/>
      <c r="D23" s="269"/>
      <c r="E23" s="269"/>
      <c r="F23" s="222">
        <v>0</v>
      </c>
      <c r="G23" s="43"/>
      <c r="H23" s="269" t="s">
        <v>77</v>
      </c>
      <c r="I23" s="269"/>
      <c r="J23" s="269"/>
      <c r="K23" s="269"/>
      <c r="L23" s="269"/>
      <c r="M23" s="222">
        <v>0</v>
      </c>
      <c r="N23" s="43"/>
      <c r="O23" s="269" t="s">
        <v>77</v>
      </c>
      <c r="P23" s="269"/>
      <c r="Q23" s="269"/>
      <c r="R23" s="269"/>
      <c r="S23" s="269"/>
      <c r="T23" s="222">
        <v>0</v>
      </c>
      <c r="U23" s="43"/>
      <c r="V23" s="269" t="s">
        <v>77</v>
      </c>
      <c r="W23" s="269"/>
      <c r="X23" s="269"/>
      <c r="Y23" s="269"/>
      <c r="Z23" s="269"/>
      <c r="AA23" s="222">
        <v>0.33</v>
      </c>
    </row>
    <row r="24" spans="1:34" x14ac:dyDescent="0.35">
      <c r="A24" s="269" t="s">
        <v>89</v>
      </c>
      <c r="B24" s="269"/>
      <c r="C24" s="269"/>
      <c r="D24" s="269"/>
      <c r="E24" s="269"/>
      <c r="F24" s="223">
        <v>2</v>
      </c>
      <c r="G24" s="43"/>
      <c r="H24" s="269" t="s">
        <v>89</v>
      </c>
      <c r="I24" s="269"/>
      <c r="J24" s="269"/>
      <c r="K24" s="269"/>
      <c r="L24" s="269"/>
      <c r="M24" s="223">
        <v>2</v>
      </c>
      <c r="N24" s="43"/>
      <c r="O24" s="269" t="s">
        <v>89</v>
      </c>
      <c r="P24" s="269"/>
      <c r="Q24" s="269"/>
      <c r="R24" s="269"/>
      <c r="S24" s="269"/>
      <c r="T24" s="223">
        <v>1</v>
      </c>
      <c r="U24" s="43"/>
      <c r="V24" s="269" t="s">
        <v>89</v>
      </c>
      <c r="W24" s="269"/>
      <c r="X24" s="269"/>
      <c r="Y24" s="269"/>
      <c r="Z24" s="269"/>
      <c r="AA24" s="223">
        <v>1</v>
      </c>
    </row>
    <row r="25" spans="1:34" ht="15" thickBot="1" x14ac:dyDescent="0.4"/>
    <row r="26" spans="1:34" ht="15" thickBot="1" x14ac:dyDescent="0.4">
      <c r="A26" s="291" t="s">
        <v>214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3"/>
    </row>
    <row r="28" spans="1:34" x14ac:dyDescent="0.35">
      <c r="A28" s="244" t="s">
        <v>215</v>
      </c>
    </row>
    <row r="29" spans="1:34" ht="15" thickBot="1" x14ac:dyDescent="0.4"/>
    <row r="30" spans="1:34" ht="15" thickBot="1" x14ac:dyDescent="0.4">
      <c r="A30" s="291" t="s">
        <v>216</v>
      </c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3"/>
    </row>
    <row r="31" spans="1:34" x14ac:dyDescent="0.35">
      <c r="H31" s="11"/>
      <c r="I31" s="11"/>
      <c r="J31" s="11"/>
      <c r="K31" s="11"/>
      <c r="L31" s="11"/>
      <c r="M31" s="11"/>
    </row>
    <row r="32" spans="1:34" x14ac:dyDescent="0.35">
      <c r="A32" s="244" t="s">
        <v>215</v>
      </c>
      <c r="H32" s="11"/>
      <c r="I32" s="11"/>
      <c r="J32" s="11"/>
      <c r="K32" s="11"/>
      <c r="L32" s="11"/>
      <c r="M32" s="11"/>
    </row>
    <row r="33" spans="1:34" ht="15" thickBot="1" x14ac:dyDescent="0.4">
      <c r="H33" s="11"/>
      <c r="I33" s="11"/>
      <c r="J33" s="11"/>
      <c r="K33" s="11"/>
      <c r="L33" s="11"/>
      <c r="M33" s="11"/>
    </row>
    <row r="34" spans="1:34" ht="15" thickBot="1" x14ac:dyDescent="0.4">
      <c r="A34" s="291" t="s">
        <v>217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3"/>
    </row>
    <row r="35" spans="1:34" x14ac:dyDescent="0.35">
      <c r="H35" s="11"/>
      <c r="I35" s="11"/>
      <c r="J35" s="11"/>
      <c r="K35" s="11"/>
      <c r="L35" s="11"/>
      <c r="M35" s="11"/>
    </row>
    <row r="36" spans="1:34" ht="56.5" customHeight="1" x14ac:dyDescent="0.35">
      <c r="A36" s="303" t="s">
        <v>84</v>
      </c>
      <c r="B36" s="290" t="s">
        <v>218</v>
      </c>
      <c r="C36" s="278"/>
      <c r="D36" s="278"/>
      <c r="E36" s="278"/>
      <c r="F36" s="278"/>
      <c r="G36" s="20"/>
      <c r="H36" s="277" t="s">
        <v>107</v>
      </c>
      <c r="I36" s="290" t="s">
        <v>266</v>
      </c>
      <c r="J36" s="278"/>
      <c r="K36" s="278"/>
      <c r="L36" s="278"/>
      <c r="M36" s="278"/>
      <c r="N36" s="20"/>
      <c r="O36" s="277" t="s">
        <v>106</v>
      </c>
      <c r="P36" s="278" t="s">
        <v>331</v>
      </c>
      <c r="Q36" s="278"/>
      <c r="R36" s="278"/>
      <c r="S36" s="278"/>
      <c r="T36" s="278"/>
      <c r="U36" s="20"/>
      <c r="V36" s="277" t="s">
        <v>104</v>
      </c>
      <c r="W36" s="290" t="s">
        <v>332</v>
      </c>
      <c r="X36" s="278"/>
      <c r="Y36" s="278"/>
      <c r="Z36" s="278"/>
      <c r="AA36" s="278"/>
      <c r="AB36" s="20"/>
      <c r="AC36" s="439" t="s">
        <v>223</v>
      </c>
      <c r="AD36" s="437" t="s">
        <v>224</v>
      </c>
      <c r="AE36" s="438"/>
      <c r="AF36" s="438"/>
      <c r="AG36" s="438"/>
      <c r="AH36" s="438"/>
    </row>
    <row r="37" spans="1:34" x14ac:dyDescent="0.35">
      <c r="A37" s="304"/>
      <c r="B37" s="214" t="s">
        <v>174</v>
      </c>
      <c r="C37" s="284" t="s">
        <v>67</v>
      </c>
      <c r="D37" s="285"/>
      <c r="E37" s="285"/>
      <c r="F37" s="286"/>
      <c r="G37" s="20"/>
      <c r="H37" s="277"/>
      <c r="I37" s="214" t="s">
        <v>174</v>
      </c>
      <c r="J37" s="279" t="s">
        <v>67</v>
      </c>
      <c r="K37" s="279"/>
      <c r="L37" s="279"/>
      <c r="M37" s="279"/>
      <c r="N37" s="20"/>
      <c r="O37" s="277"/>
      <c r="P37" s="44" t="s">
        <v>174</v>
      </c>
      <c r="Q37" s="279" t="s">
        <v>67</v>
      </c>
      <c r="R37" s="279"/>
      <c r="S37" s="279"/>
      <c r="T37" s="279"/>
      <c r="U37" s="20"/>
      <c r="V37" s="277"/>
      <c r="W37" s="214" t="s">
        <v>174</v>
      </c>
      <c r="X37" s="279" t="s">
        <v>67</v>
      </c>
      <c r="Y37" s="279"/>
      <c r="Z37" s="279"/>
      <c r="AA37" s="279"/>
      <c r="AB37" s="20"/>
      <c r="AC37" s="439"/>
      <c r="AD37" s="353" t="s">
        <v>225</v>
      </c>
      <c r="AE37" s="353"/>
      <c r="AF37" s="435" t="s">
        <v>67</v>
      </c>
      <c r="AG37" s="435"/>
      <c r="AH37" s="435"/>
    </row>
    <row r="38" spans="1:34" x14ac:dyDescent="0.35">
      <c r="A38" s="305"/>
      <c r="B38" s="215" t="s">
        <v>175</v>
      </c>
      <c r="C38" s="279" t="s">
        <v>83</v>
      </c>
      <c r="D38" s="279"/>
      <c r="E38" s="279"/>
      <c r="F38" s="279"/>
      <c r="G38" s="20"/>
      <c r="H38" s="277"/>
      <c r="I38" s="214" t="s">
        <v>175</v>
      </c>
      <c r="J38" s="279" t="s">
        <v>83</v>
      </c>
      <c r="K38" s="279"/>
      <c r="L38" s="279"/>
      <c r="M38" s="279"/>
      <c r="N38" s="20"/>
      <c r="O38" s="277"/>
      <c r="P38" s="216" t="s">
        <v>175</v>
      </c>
      <c r="Q38" s="279" t="s">
        <v>83</v>
      </c>
      <c r="R38" s="279"/>
      <c r="S38" s="279"/>
      <c r="T38" s="279"/>
      <c r="U38" s="20"/>
      <c r="V38" s="277"/>
      <c r="W38" s="214">
        <v>1</v>
      </c>
      <c r="X38" s="279" t="s">
        <v>72</v>
      </c>
      <c r="Y38" s="279"/>
      <c r="Z38" s="279"/>
      <c r="AA38" s="279"/>
      <c r="AB38" s="20"/>
      <c r="AC38" s="439"/>
      <c r="AD38" s="353" t="s">
        <v>226</v>
      </c>
      <c r="AE38" s="353"/>
      <c r="AF38" s="435" t="s">
        <v>64</v>
      </c>
      <c r="AG38" s="435"/>
      <c r="AH38" s="435"/>
    </row>
    <row r="39" spans="1:34" ht="28" customHeight="1" x14ac:dyDescent="0.35">
      <c r="A39" s="277" t="s">
        <v>59</v>
      </c>
      <c r="B39" s="306" t="s">
        <v>219</v>
      </c>
      <c r="C39" s="306"/>
      <c r="D39" s="306"/>
      <c r="E39" s="306"/>
      <c r="F39" s="306"/>
      <c r="G39" s="20"/>
      <c r="H39" s="277" t="s">
        <v>59</v>
      </c>
      <c r="I39" s="289" t="s">
        <v>220</v>
      </c>
      <c r="J39" s="289"/>
      <c r="K39" s="289"/>
      <c r="L39" s="289"/>
      <c r="M39" s="290"/>
      <c r="N39" s="20"/>
      <c r="O39" s="20"/>
      <c r="P39" s="20"/>
      <c r="Q39" s="20"/>
      <c r="R39" s="20"/>
      <c r="S39" s="20"/>
      <c r="T39" s="20"/>
      <c r="U39" s="20"/>
      <c r="V39" s="277"/>
      <c r="W39" s="245" t="s">
        <v>221</v>
      </c>
      <c r="X39" s="394" t="s">
        <v>222</v>
      </c>
      <c r="Y39" s="394"/>
      <c r="Z39" s="394"/>
      <c r="AA39" s="394"/>
      <c r="AB39" s="20"/>
      <c r="AC39" s="439"/>
      <c r="AD39" s="354" t="s">
        <v>227</v>
      </c>
      <c r="AE39" s="354"/>
      <c r="AF39" s="436" t="s">
        <v>83</v>
      </c>
      <c r="AG39" s="436"/>
      <c r="AH39" s="436"/>
    </row>
    <row r="40" spans="1:34" x14ac:dyDescent="0.35">
      <c r="A40" s="277"/>
      <c r="B40" s="218" t="s">
        <v>193</v>
      </c>
      <c r="C40" s="268" t="s">
        <v>67</v>
      </c>
      <c r="D40" s="268"/>
      <c r="E40" s="268"/>
      <c r="F40" s="268"/>
      <c r="G40" s="20"/>
      <c r="H40" s="277"/>
      <c r="I40" s="220">
        <v>0</v>
      </c>
      <c r="J40" s="268" t="s">
        <v>67</v>
      </c>
      <c r="K40" s="268"/>
      <c r="L40" s="268"/>
      <c r="M40" s="268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439"/>
      <c r="AD40" s="353" t="s">
        <v>228</v>
      </c>
      <c r="AE40" s="353"/>
      <c r="AF40" s="435" t="s">
        <v>68</v>
      </c>
      <c r="AG40" s="435"/>
      <c r="AH40" s="435"/>
    </row>
    <row r="41" spans="1:34" x14ac:dyDescent="0.35">
      <c r="A41" s="277"/>
      <c r="B41" s="218">
        <v>0.1</v>
      </c>
      <c r="C41" s="268" t="s">
        <v>99</v>
      </c>
      <c r="D41" s="268"/>
      <c r="E41" s="268"/>
      <c r="F41" s="268"/>
      <c r="G41" s="20"/>
      <c r="H41" s="277"/>
      <c r="I41" s="220">
        <v>1</v>
      </c>
      <c r="J41" s="268" t="s">
        <v>99</v>
      </c>
      <c r="K41" s="268"/>
      <c r="L41" s="268"/>
      <c r="M41" s="268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439"/>
      <c r="AD41" s="353" t="s">
        <v>229</v>
      </c>
      <c r="AE41" s="353"/>
      <c r="AF41" s="435" t="s">
        <v>70</v>
      </c>
      <c r="AG41" s="435"/>
      <c r="AH41" s="435"/>
    </row>
    <row r="42" spans="1:34" x14ac:dyDescent="0.35">
      <c r="A42" s="277"/>
      <c r="B42" s="218">
        <v>0.2</v>
      </c>
      <c r="C42" s="268" t="s">
        <v>97</v>
      </c>
      <c r="D42" s="268"/>
      <c r="E42" s="268"/>
      <c r="F42" s="268"/>
      <c r="G42" s="20"/>
      <c r="H42" s="277"/>
      <c r="I42" s="220">
        <v>2</v>
      </c>
      <c r="J42" s="268" t="s">
        <v>97</v>
      </c>
      <c r="K42" s="268"/>
      <c r="L42" s="268"/>
      <c r="M42" s="268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439"/>
      <c r="AD42" s="353" t="s">
        <v>230</v>
      </c>
      <c r="AE42" s="353"/>
      <c r="AF42" s="435" t="s">
        <v>74</v>
      </c>
      <c r="AG42" s="435"/>
      <c r="AH42" s="435"/>
    </row>
    <row r="43" spans="1:34" x14ac:dyDescent="0.35">
      <c r="A43" s="277"/>
      <c r="B43" s="218">
        <v>0.3</v>
      </c>
      <c r="C43" s="268" t="s">
        <v>95</v>
      </c>
      <c r="D43" s="268"/>
      <c r="E43" s="268"/>
      <c r="F43" s="268"/>
      <c r="G43" s="20"/>
      <c r="H43" s="277"/>
      <c r="I43" s="220">
        <v>3</v>
      </c>
      <c r="J43" s="268" t="s">
        <v>95</v>
      </c>
      <c r="K43" s="268"/>
      <c r="L43" s="268"/>
      <c r="M43" s="268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439"/>
      <c r="AD43" s="353" t="s">
        <v>231</v>
      </c>
      <c r="AE43" s="353"/>
      <c r="AF43" s="435" t="s">
        <v>87</v>
      </c>
      <c r="AG43" s="435"/>
      <c r="AH43" s="435"/>
    </row>
    <row r="44" spans="1:34" x14ac:dyDescent="0.35">
      <c r="A44" s="277"/>
      <c r="B44" s="218">
        <v>0.4</v>
      </c>
      <c r="C44" s="280" t="s">
        <v>94</v>
      </c>
      <c r="D44" s="281"/>
      <c r="E44" s="281"/>
      <c r="F44" s="282"/>
      <c r="G44" s="20"/>
      <c r="H44" s="277"/>
      <c r="I44" s="219">
        <v>4</v>
      </c>
      <c r="J44" s="268" t="s">
        <v>94</v>
      </c>
      <c r="K44" s="268"/>
      <c r="L44" s="268"/>
      <c r="M44" s="268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x14ac:dyDescent="0.35">
      <c r="A45" s="277"/>
      <c r="B45" s="218">
        <v>0.5</v>
      </c>
      <c r="C45" s="280" t="s">
        <v>66</v>
      </c>
      <c r="D45" s="281"/>
      <c r="E45" s="281"/>
      <c r="F45" s="282"/>
      <c r="G45" s="20"/>
      <c r="H45" s="277"/>
      <c r="I45" s="219">
        <v>5</v>
      </c>
      <c r="J45" s="268" t="s">
        <v>66</v>
      </c>
      <c r="K45" s="268"/>
      <c r="L45" s="268"/>
      <c r="M45" s="268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1:34" x14ac:dyDescent="0.35">
      <c r="A46" s="277"/>
      <c r="B46" s="218">
        <v>0.6</v>
      </c>
      <c r="C46" s="280" t="s">
        <v>93</v>
      </c>
      <c r="D46" s="281"/>
      <c r="E46" s="281"/>
      <c r="F46" s="282"/>
      <c r="G46" s="20"/>
      <c r="H46" s="277"/>
      <c r="I46" s="219">
        <v>6</v>
      </c>
      <c r="J46" s="268" t="s">
        <v>93</v>
      </c>
      <c r="K46" s="268"/>
      <c r="L46" s="268"/>
      <c r="M46" s="268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4" x14ac:dyDescent="0.35">
      <c r="A47" s="277"/>
      <c r="B47" s="218">
        <v>0.7</v>
      </c>
      <c r="C47" s="280" t="s">
        <v>92</v>
      </c>
      <c r="D47" s="281"/>
      <c r="E47" s="281"/>
      <c r="F47" s="282"/>
      <c r="G47" s="20"/>
      <c r="H47" s="277"/>
      <c r="I47" s="219">
        <v>7</v>
      </c>
      <c r="J47" s="268" t="s">
        <v>92</v>
      </c>
      <c r="K47" s="268"/>
      <c r="L47" s="268"/>
      <c r="M47" s="268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1:34" x14ac:dyDescent="0.35">
      <c r="A48" s="277"/>
      <c r="B48" s="218">
        <v>0.8</v>
      </c>
      <c r="C48" s="280" t="s">
        <v>91</v>
      </c>
      <c r="D48" s="281"/>
      <c r="E48" s="281"/>
      <c r="F48" s="282"/>
      <c r="G48" s="20"/>
      <c r="H48" s="277"/>
      <c r="I48" s="219">
        <v>8</v>
      </c>
      <c r="J48" s="268" t="s">
        <v>91</v>
      </c>
      <c r="K48" s="268"/>
      <c r="L48" s="268"/>
      <c r="M48" s="268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</row>
    <row r="49" spans="1:34" x14ac:dyDescent="0.35">
      <c r="A49" s="277"/>
      <c r="B49" s="218">
        <v>0.9</v>
      </c>
      <c r="C49" s="280" t="s">
        <v>90</v>
      </c>
      <c r="D49" s="281"/>
      <c r="E49" s="281"/>
      <c r="F49" s="282"/>
      <c r="G49" s="20"/>
      <c r="H49" s="277"/>
      <c r="I49" s="219">
        <v>9</v>
      </c>
      <c r="J49" s="268" t="s">
        <v>90</v>
      </c>
      <c r="K49" s="268"/>
      <c r="L49" s="268"/>
      <c r="M49" s="268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</row>
    <row r="50" spans="1:34" x14ac:dyDescent="0.35">
      <c r="A50" s="277"/>
      <c r="B50" s="218">
        <v>1</v>
      </c>
      <c r="C50" s="280" t="s">
        <v>83</v>
      </c>
      <c r="D50" s="281"/>
      <c r="E50" s="281"/>
      <c r="F50" s="282"/>
      <c r="G50" s="20"/>
      <c r="H50" s="277"/>
      <c r="I50" s="219">
        <v>10</v>
      </c>
      <c r="J50" s="268" t="s">
        <v>83</v>
      </c>
      <c r="K50" s="268"/>
      <c r="L50" s="268"/>
      <c r="M50" s="268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4" x14ac:dyDescent="0.3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</row>
    <row r="52" spans="1:34" x14ac:dyDescent="0.35">
      <c r="A52" s="269" t="s">
        <v>77</v>
      </c>
      <c r="B52" s="269"/>
      <c r="C52" s="269"/>
      <c r="D52" s="269"/>
      <c r="E52" s="269"/>
      <c r="F52" s="222">
        <v>0</v>
      </c>
      <c r="G52" s="20"/>
      <c r="H52" s="269" t="s">
        <v>77</v>
      </c>
      <c r="I52" s="269"/>
      <c r="J52" s="269"/>
      <c r="K52" s="269"/>
      <c r="L52" s="269"/>
      <c r="M52" s="222">
        <v>0</v>
      </c>
      <c r="N52" s="20"/>
      <c r="O52" s="269" t="s">
        <v>77</v>
      </c>
      <c r="P52" s="269"/>
      <c r="Q52" s="269"/>
      <c r="R52" s="269"/>
      <c r="S52" s="269"/>
      <c r="T52" s="222">
        <v>0</v>
      </c>
      <c r="U52" s="20"/>
      <c r="V52" s="269" t="s">
        <v>77</v>
      </c>
      <c r="W52" s="269"/>
      <c r="X52" s="269"/>
      <c r="Y52" s="269"/>
      <c r="Z52" s="269"/>
      <c r="AA52" s="222">
        <v>0</v>
      </c>
      <c r="AB52" s="20"/>
      <c r="AC52" s="269" t="s">
        <v>77</v>
      </c>
      <c r="AD52" s="269"/>
      <c r="AE52" s="269"/>
      <c r="AF52" s="269"/>
      <c r="AG52" s="269"/>
      <c r="AH52" s="222">
        <v>0</v>
      </c>
    </row>
    <row r="53" spans="1:34" x14ac:dyDescent="0.35">
      <c r="A53" s="269" t="s">
        <v>89</v>
      </c>
      <c r="B53" s="269"/>
      <c r="C53" s="269"/>
      <c r="D53" s="269"/>
      <c r="E53" s="269"/>
      <c r="F53" s="223">
        <v>2</v>
      </c>
      <c r="G53" s="20"/>
      <c r="H53" s="269" t="s">
        <v>89</v>
      </c>
      <c r="I53" s="269"/>
      <c r="J53" s="269"/>
      <c r="K53" s="269"/>
      <c r="L53" s="269"/>
      <c r="M53" s="223">
        <v>2</v>
      </c>
      <c r="N53" s="20"/>
      <c r="O53" s="269" t="s">
        <v>89</v>
      </c>
      <c r="P53" s="269"/>
      <c r="Q53" s="269"/>
      <c r="R53" s="269"/>
      <c r="S53" s="269"/>
      <c r="T53" s="223">
        <v>1</v>
      </c>
      <c r="U53" s="20"/>
      <c r="V53" s="269" t="s">
        <v>89</v>
      </c>
      <c r="W53" s="269"/>
      <c r="X53" s="269"/>
      <c r="Y53" s="269"/>
      <c r="Z53" s="269"/>
      <c r="AA53" s="223">
        <v>0.5</v>
      </c>
      <c r="AB53" s="20"/>
      <c r="AC53" s="269" t="s">
        <v>89</v>
      </c>
      <c r="AD53" s="269"/>
      <c r="AE53" s="269"/>
      <c r="AF53" s="269"/>
      <c r="AG53" s="269"/>
      <c r="AH53" s="223">
        <v>2</v>
      </c>
    </row>
    <row r="54" spans="1:34" ht="15" thickBot="1" x14ac:dyDescent="0.4"/>
    <row r="55" spans="1:34" ht="15" thickBot="1" x14ac:dyDescent="0.4">
      <c r="A55" s="291" t="s">
        <v>232</v>
      </c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3"/>
    </row>
    <row r="57" spans="1:34" x14ac:dyDescent="0.35">
      <c r="A57" s="244" t="s">
        <v>215</v>
      </c>
    </row>
    <row r="58" spans="1:34" ht="15" thickBot="1" x14ac:dyDescent="0.4"/>
    <row r="59" spans="1:34" ht="14.5" customHeight="1" thickBot="1" x14ac:dyDescent="0.4">
      <c r="A59" s="440" t="s">
        <v>163</v>
      </c>
      <c r="B59" s="441"/>
      <c r="C59" s="441"/>
      <c r="D59" s="441"/>
      <c r="E59" s="441"/>
      <c r="F59" s="441"/>
      <c r="G59" s="441"/>
      <c r="H59" s="441"/>
      <c r="I59" s="441"/>
      <c r="J59" s="441"/>
      <c r="K59" s="441"/>
      <c r="L59" s="441"/>
      <c r="M59" s="441"/>
      <c r="N59" s="441"/>
      <c r="O59" s="441"/>
      <c r="P59" s="441"/>
      <c r="Q59" s="441"/>
      <c r="R59" s="441"/>
      <c r="S59" s="441"/>
      <c r="T59" s="441"/>
      <c r="U59" s="441"/>
      <c r="V59" s="441"/>
      <c r="W59" s="441"/>
      <c r="X59" s="441"/>
      <c r="Y59" s="441"/>
      <c r="Z59" s="441"/>
      <c r="AA59" s="441"/>
      <c r="AB59" s="441"/>
      <c r="AC59" s="441"/>
      <c r="AD59" s="441"/>
      <c r="AE59" s="441"/>
      <c r="AF59" s="441"/>
      <c r="AG59" s="441"/>
      <c r="AH59" s="442"/>
    </row>
    <row r="60" spans="1:34" ht="14.5" customHeight="1" thickBot="1" x14ac:dyDescent="0.5">
      <c r="A60" s="5"/>
      <c r="B60" s="5"/>
      <c r="C60" s="5"/>
      <c r="D60" s="5"/>
      <c r="E60" s="5"/>
      <c r="F60" s="5"/>
    </row>
    <row r="61" spans="1:34" ht="14.5" customHeight="1" thickBot="1" x14ac:dyDescent="0.4">
      <c r="A61" s="448" t="s">
        <v>164</v>
      </c>
      <c r="B61" s="449"/>
      <c r="C61" s="449"/>
      <c r="D61" s="450"/>
      <c r="E61" s="451">
        <v>0</v>
      </c>
      <c r="F61" s="452"/>
      <c r="H61" s="339"/>
      <c r="I61" s="339"/>
      <c r="J61" s="339"/>
      <c r="K61" s="339"/>
      <c r="L61" s="339"/>
      <c r="M61" s="339"/>
      <c r="O61" s="339"/>
      <c r="P61" s="339"/>
      <c r="Q61" s="339"/>
      <c r="R61" s="339"/>
      <c r="S61" s="339"/>
    </row>
    <row r="62" spans="1:34" ht="15" thickBot="1" x14ac:dyDescent="0.4">
      <c r="A62" s="453" t="s">
        <v>165</v>
      </c>
      <c r="B62" s="454"/>
      <c r="C62" s="454"/>
      <c r="D62" s="455"/>
      <c r="E62" s="456">
        <f>F24+M24+T24+AA24+F53+M53+T53+AA53+AH53</f>
        <v>13.5</v>
      </c>
      <c r="F62" s="457"/>
    </row>
    <row r="63" spans="1:34" ht="15" thickBot="1" x14ac:dyDescent="0.4">
      <c r="A63" s="43"/>
      <c r="B63" s="43"/>
      <c r="C63" s="43"/>
      <c r="D63" s="43"/>
      <c r="E63" s="43"/>
      <c r="F63" s="43"/>
    </row>
    <row r="64" spans="1:34" ht="15" thickBot="1" x14ac:dyDescent="0.4">
      <c r="A64" s="443" t="s">
        <v>166</v>
      </c>
      <c r="B64" s="444"/>
      <c r="C64" s="445"/>
      <c r="D64" s="226" t="s">
        <v>167</v>
      </c>
      <c r="E64" s="446" t="s">
        <v>168</v>
      </c>
      <c r="F64" s="447"/>
    </row>
    <row r="65" spans="1:6" ht="15" thickBot="1" x14ac:dyDescent="0.4">
      <c r="A65" s="312" t="s">
        <v>298</v>
      </c>
      <c r="B65" s="313"/>
      <c r="C65" s="314"/>
      <c r="D65" s="227" t="s">
        <v>257</v>
      </c>
      <c r="E65" s="329"/>
      <c r="F65" s="330"/>
    </row>
    <row r="66" spans="1:6" ht="15" thickBot="1" x14ac:dyDescent="0.4">
      <c r="A66" s="307" t="s">
        <v>299</v>
      </c>
      <c r="B66" s="308"/>
      <c r="C66" s="309"/>
      <c r="D66" s="228" t="s">
        <v>261</v>
      </c>
      <c r="E66" s="310"/>
      <c r="F66" s="311"/>
    </row>
    <row r="67" spans="1:6" ht="15" thickBot="1" x14ac:dyDescent="0.4">
      <c r="A67" s="312" t="s">
        <v>300</v>
      </c>
      <c r="B67" s="313"/>
      <c r="C67" s="314"/>
      <c r="D67" s="229" t="s">
        <v>260</v>
      </c>
      <c r="E67" s="315"/>
      <c r="F67" s="316"/>
    </row>
    <row r="68" spans="1:6" ht="15" thickBot="1" x14ac:dyDescent="0.4">
      <c r="A68" s="307" t="s">
        <v>301</v>
      </c>
      <c r="B68" s="308"/>
      <c r="C68" s="309"/>
      <c r="D68" s="228" t="s">
        <v>259</v>
      </c>
      <c r="E68" s="317"/>
      <c r="F68" s="318"/>
    </row>
    <row r="69" spans="1:6" ht="15" thickBot="1" x14ac:dyDescent="0.4">
      <c r="A69" s="298" t="s">
        <v>302</v>
      </c>
      <c r="B69" s="299"/>
      <c r="C69" s="300"/>
      <c r="D69" s="230" t="s">
        <v>258</v>
      </c>
      <c r="E69" s="301"/>
      <c r="F69" s="302"/>
    </row>
  </sheetData>
  <mergeCells count="152">
    <mergeCell ref="O7:O9"/>
    <mergeCell ref="P7:T7"/>
    <mergeCell ref="W7:AA7"/>
    <mergeCell ref="B10:F10"/>
    <mergeCell ref="H10:H21"/>
    <mergeCell ref="I10:M10"/>
    <mergeCell ref="C11:F11"/>
    <mergeCell ref="A7:A9"/>
    <mergeCell ref="C21:F21"/>
    <mergeCell ref="J21:M21"/>
    <mergeCell ref="X10:AA10"/>
    <mergeCell ref="X11:AA11"/>
    <mergeCell ref="X12:AA12"/>
    <mergeCell ref="V14:V16"/>
    <mergeCell ref="W14:AA14"/>
    <mergeCell ref="X15:AA15"/>
    <mergeCell ref="X16:AA16"/>
    <mergeCell ref="X8:AA8"/>
    <mergeCell ref="X9:AA9"/>
    <mergeCell ref="X13:AA13"/>
    <mergeCell ref="V7:V13"/>
    <mergeCell ref="C17:F17"/>
    <mergeCell ref="J17:M17"/>
    <mergeCell ref="C18:F18"/>
    <mergeCell ref="A23:E23"/>
    <mergeCell ref="H23:L23"/>
    <mergeCell ref="J18:M18"/>
    <mergeCell ref="C19:F19"/>
    <mergeCell ref="J19:M19"/>
    <mergeCell ref="B7:F7"/>
    <mergeCell ref="H7:H9"/>
    <mergeCell ref="I7:M7"/>
    <mergeCell ref="C8:F8"/>
    <mergeCell ref="J8:M8"/>
    <mergeCell ref="C20:F20"/>
    <mergeCell ref="J20:M20"/>
    <mergeCell ref="C14:F14"/>
    <mergeCell ref="J14:M14"/>
    <mergeCell ref="C15:F15"/>
    <mergeCell ref="J15:M15"/>
    <mergeCell ref="C16:F16"/>
    <mergeCell ref="J16:M16"/>
    <mergeCell ref="J11:M11"/>
    <mergeCell ref="C12:F12"/>
    <mergeCell ref="J12:M12"/>
    <mergeCell ref="C13:F13"/>
    <mergeCell ref="J13:M13"/>
    <mergeCell ref="A69:C69"/>
    <mergeCell ref="E69:F69"/>
    <mergeCell ref="A64:C64"/>
    <mergeCell ref="E64:F64"/>
    <mergeCell ref="A65:C65"/>
    <mergeCell ref="E65:F65"/>
    <mergeCell ref="A66:C66"/>
    <mergeCell ref="E66:F66"/>
    <mergeCell ref="A61:D61"/>
    <mergeCell ref="E61:F61"/>
    <mergeCell ref="A62:D62"/>
    <mergeCell ref="E62:F62"/>
    <mergeCell ref="A67:C67"/>
    <mergeCell ref="E67:F67"/>
    <mergeCell ref="A68:C68"/>
    <mergeCell ref="E68:F68"/>
    <mergeCell ref="J48:M48"/>
    <mergeCell ref="J49:M49"/>
    <mergeCell ref="J50:M50"/>
    <mergeCell ref="H61:M61"/>
    <mergeCell ref="O61:S61"/>
    <mergeCell ref="A59:AH59"/>
    <mergeCell ref="V24:Z24"/>
    <mergeCell ref="P36:T36"/>
    <mergeCell ref="Q37:T37"/>
    <mergeCell ref="Q38:T38"/>
    <mergeCell ref="C43:F43"/>
    <mergeCell ref="J43:M43"/>
    <mergeCell ref="C44:F44"/>
    <mergeCell ref="J44:M44"/>
    <mergeCell ref="AD40:AE40"/>
    <mergeCell ref="AD41:AE41"/>
    <mergeCell ref="H52:L52"/>
    <mergeCell ref="H53:L53"/>
    <mergeCell ref="O36:O38"/>
    <mergeCell ref="O52:S52"/>
    <mergeCell ref="O53:S53"/>
    <mergeCell ref="J42:M42"/>
    <mergeCell ref="AC52:AG52"/>
    <mergeCell ref="AC53:AG53"/>
    <mergeCell ref="C50:F50"/>
    <mergeCell ref="A52:E52"/>
    <mergeCell ref="A53:E53"/>
    <mergeCell ref="A36:A38"/>
    <mergeCell ref="B36:F36"/>
    <mergeCell ref="A39:A50"/>
    <mergeCell ref="B39:F39"/>
    <mergeCell ref="C45:F45"/>
    <mergeCell ref="C46:F46"/>
    <mergeCell ref="C47:F47"/>
    <mergeCell ref="C48:F48"/>
    <mergeCell ref="C49:F49"/>
    <mergeCell ref="C40:F40"/>
    <mergeCell ref="C41:F41"/>
    <mergeCell ref="C42:F42"/>
    <mergeCell ref="C37:F37"/>
    <mergeCell ref="C38:F38"/>
    <mergeCell ref="J45:M45"/>
    <mergeCell ref="J46:M46"/>
    <mergeCell ref="J47:M47"/>
    <mergeCell ref="J40:M40"/>
    <mergeCell ref="J41:M41"/>
    <mergeCell ref="J37:M37"/>
    <mergeCell ref="J38:M38"/>
    <mergeCell ref="A3:AH3"/>
    <mergeCell ref="V23:Z23"/>
    <mergeCell ref="W36:AA36"/>
    <mergeCell ref="X37:AA37"/>
    <mergeCell ref="X38:AA38"/>
    <mergeCell ref="H36:H38"/>
    <mergeCell ref="I36:M36"/>
    <mergeCell ref="H39:H50"/>
    <mergeCell ref="O23:S23"/>
    <mergeCell ref="A24:E24"/>
    <mergeCell ref="H24:L24"/>
    <mergeCell ref="O24:S24"/>
    <mergeCell ref="Q8:T8"/>
    <mergeCell ref="C9:F9"/>
    <mergeCell ref="J9:M9"/>
    <mergeCell ref="Q9:T9"/>
    <mergeCell ref="A10:A21"/>
    <mergeCell ref="A1:AH1"/>
    <mergeCell ref="A26:AH26"/>
    <mergeCell ref="A30:AH30"/>
    <mergeCell ref="A34:AH34"/>
    <mergeCell ref="A55:AH55"/>
    <mergeCell ref="AD42:AE42"/>
    <mergeCell ref="AD43:AE43"/>
    <mergeCell ref="AD38:AE38"/>
    <mergeCell ref="AF37:AH37"/>
    <mergeCell ref="AF38:AH38"/>
    <mergeCell ref="AF39:AH39"/>
    <mergeCell ref="AF40:AH40"/>
    <mergeCell ref="AF41:AH41"/>
    <mergeCell ref="AF42:AH42"/>
    <mergeCell ref="AF43:AH43"/>
    <mergeCell ref="V52:Z52"/>
    <mergeCell ref="V53:Z53"/>
    <mergeCell ref="X39:AA39"/>
    <mergeCell ref="V36:V39"/>
    <mergeCell ref="AD36:AH36"/>
    <mergeCell ref="AC36:AC43"/>
    <mergeCell ref="AD37:AE37"/>
    <mergeCell ref="AD39:AE39"/>
    <mergeCell ref="I39:M3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4A3F3-7E37-4759-90CE-4827261EAE86}">
  <sheetPr>
    <tabColor rgb="FFFFBDBD"/>
  </sheetPr>
  <dimension ref="A1:AJ60"/>
  <sheetViews>
    <sheetView topLeftCell="A28" zoomScale="66" zoomScaleNormal="70" workbookViewId="0">
      <selection activeCell="A50" sqref="A50"/>
    </sheetView>
  </sheetViews>
  <sheetFormatPr defaultRowHeight="12" x14ac:dyDescent="0.3"/>
  <cols>
    <col min="1" max="1" width="23.6328125" style="15" customWidth="1"/>
    <col min="2" max="2" width="12.90625" style="15" customWidth="1"/>
    <col min="3" max="3" width="12.81640625" style="15" customWidth="1"/>
    <col min="4" max="4" width="12.7265625" style="18" customWidth="1"/>
    <col min="5" max="5" width="12.81640625" style="18" customWidth="1"/>
    <col min="6" max="6" width="12.7265625" style="15" customWidth="1"/>
    <col min="7" max="9" width="12.7265625" style="18" customWidth="1"/>
    <col min="10" max="17" width="12.7265625" style="15" customWidth="1"/>
    <col min="18" max="28" width="12.81640625" style="15" customWidth="1"/>
    <col min="29" max="29" width="12.81640625" style="18" customWidth="1"/>
    <col min="30" max="32" width="12.81640625" style="15" customWidth="1"/>
    <col min="33" max="33" width="22.7265625" style="15" customWidth="1"/>
    <col min="34" max="34" width="22.6328125" style="15" customWidth="1"/>
    <col min="35" max="35" width="22.81640625" style="15" customWidth="1"/>
    <col min="36" max="36" width="94.08984375" style="15" customWidth="1"/>
    <col min="37" max="16384" width="8.7265625" style="15"/>
  </cols>
  <sheetData>
    <row r="1" spans="1:36" ht="18" x14ac:dyDescent="0.4">
      <c r="A1" s="33" t="s">
        <v>237</v>
      </c>
    </row>
    <row r="2" spans="1:36" ht="12.5" thickBot="1" x14ac:dyDescent="0.35"/>
    <row r="3" spans="1:36" ht="15" customHeight="1" thickBot="1" x14ac:dyDescent="0.35">
      <c r="A3" s="34"/>
      <c r="B3" s="188" t="s">
        <v>49</v>
      </c>
      <c r="C3" s="188" t="s">
        <v>183</v>
      </c>
      <c r="D3" s="461" t="s">
        <v>205</v>
      </c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3"/>
      <c r="R3" s="461" t="s">
        <v>217</v>
      </c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3"/>
      <c r="AG3" s="464" t="s">
        <v>138</v>
      </c>
      <c r="AH3" s="464" t="s">
        <v>127</v>
      </c>
      <c r="AI3" s="357" t="s">
        <v>172</v>
      </c>
      <c r="AJ3" s="355" t="s">
        <v>248</v>
      </c>
    </row>
    <row r="4" spans="1:36" ht="45.5" customHeight="1" thickBot="1" x14ac:dyDescent="0.35">
      <c r="A4" s="31" t="s">
        <v>238</v>
      </c>
      <c r="B4" s="36" t="s">
        <v>52</v>
      </c>
      <c r="C4" s="32" t="s">
        <v>52</v>
      </c>
      <c r="D4" s="40" t="s">
        <v>239</v>
      </c>
      <c r="E4" s="37" t="s">
        <v>179</v>
      </c>
      <c r="F4" s="37" t="s">
        <v>240</v>
      </c>
      <c r="G4" s="37" t="s">
        <v>60</v>
      </c>
      <c r="H4" s="37" t="s">
        <v>180</v>
      </c>
      <c r="I4" s="38" t="s">
        <v>184</v>
      </c>
      <c r="J4" s="37" t="s">
        <v>179</v>
      </c>
      <c r="K4" s="37" t="s">
        <v>71</v>
      </c>
      <c r="L4" s="37" t="s">
        <v>236</v>
      </c>
      <c r="M4" s="37" t="s">
        <v>185</v>
      </c>
      <c r="N4" s="37" t="s">
        <v>73</v>
      </c>
      <c r="O4" s="37" t="s">
        <v>238</v>
      </c>
      <c r="P4" s="37" t="s">
        <v>80</v>
      </c>
      <c r="Q4" s="39" t="s">
        <v>235</v>
      </c>
      <c r="R4" s="40" t="s">
        <v>242</v>
      </c>
      <c r="S4" s="37" t="s">
        <v>179</v>
      </c>
      <c r="T4" s="37" t="s">
        <v>127</v>
      </c>
      <c r="U4" s="37" t="s">
        <v>84</v>
      </c>
      <c r="V4" s="37" t="s">
        <v>234</v>
      </c>
      <c r="W4" s="38" t="s">
        <v>184</v>
      </c>
      <c r="X4" s="38" t="s">
        <v>179</v>
      </c>
      <c r="Y4" s="38" t="s">
        <v>107</v>
      </c>
      <c r="Z4" s="38" t="s">
        <v>233</v>
      </c>
      <c r="AA4" s="37" t="s">
        <v>188</v>
      </c>
      <c r="AB4" s="37" t="s">
        <v>244</v>
      </c>
      <c r="AC4" s="189" t="s">
        <v>241</v>
      </c>
      <c r="AD4" s="190" t="s">
        <v>104</v>
      </c>
      <c r="AE4" s="38" t="s">
        <v>243</v>
      </c>
      <c r="AF4" s="191" t="s">
        <v>223</v>
      </c>
      <c r="AG4" s="465"/>
      <c r="AH4" s="465"/>
      <c r="AI4" s="358"/>
      <c r="AJ4" s="356"/>
    </row>
    <row r="5" spans="1:36" ht="12.5" customHeight="1" thickBot="1" x14ac:dyDescent="0.35"/>
    <row r="6" spans="1:36" ht="14" x14ac:dyDescent="0.3">
      <c r="A6" s="20" t="s">
        <v>5</v>
      </c>
      <c r="B6" s="193">
        <v>1170</v>
      </c>
      <c r="C6" s="193">
        <v>2</v>
      </c>
      <c r="D6" s="62" t="s">
        <v>174</v>
      </c>
      <c r="E6" s="63">
        <v>0</v>
      </c>
      <c r="F6" s="64">
        <f t="shared" ref="F6:F52" si="0">E6/C6*100</f>
        <v>0</v>
      </c>
      <c r="G6" s="65">
        <v>0</v>
      </c>
      <c r="H6" s="66">
        <v>0</v>
      </c>
      <c r="I6" s="62" t="s">
        <v>174</v>
      </c>
      <c r="J6" s="63">
        <v>0</v>
      </c>
      <c r="K6" s="65">
        <f>J6/C6*100</f>
        <v>0</v>
      </c>
      <c r="L6" s="66">
        <v>0</v>
      </c>
      <c r="M6" s="70" t="s">
        <v>174</v>
      </c>
      <c r="N6" s="68">
        <v>0</v>
      </c>
      <c r="O6" s="62" t="s">
        <v>208</v>
      </c>
      <c r="P6" s="65">
        <v>1</v>
      </c>
      <c r="Q6" s="66">
        <v>0</v>
      </c>
      <c r="R6" s="70" t="s">
        <v>174</v>
      </c>
      <c r="S6" s="194">
        <v>0</v>
      </c>
      <c r="T6" s="195">
        <f t="shared" ref="T6:T52" si="1">S6/C6*100</f>
        <v>0</v>
      </c>
      <c r="U6" s="67">
        <v>0</v>
      </c>
      <c r="V6" s="68">
        <v>0</v>
      </c>
      <c r="W6" s="62" t="s">
        <v>174</v>
      </c>
      <c r="X6" s="69">
        <v>0</v>
      </c>
      <c r="Y6" s="65">
        <v>0</v>
      </c>
      <c r="Z6" s="66">
        <v>0</v>
      </c>
      <c r="AA6" s="70" t="s">
        <v>174</v>
      </c>
      <c r="AB6" s="68">
        <v>0</v>
      </c>
      <c r="AC6" s="62" t="s">
        <v>174</v>
      </c>
      <c r="AD6" s="66">
        <v>0</v>
      </c>
      <c r="AE6" s="21" t="s">
        <v>174</v>
      </c>
      <c r="AF6" s="66">
        <v>0</v>
      </c>
      <c r="AG6" s="71">
        <f t="shared" ref="AG6:AG52" si="2">G6+H6+K6+L6+N6+P6+Q6+U6+V6+Y6+Z6+AB6+AD6+AF6</f>
        <v>1</v>
      </c>
      <c r="AH6" s="72">
        <f>(AG6/13.5)*100</f>
        <v>7.4074074074074066</v>
      </c>
      <c r="AI6" s="196"/>
      <c r="AJ6" s="20"/>
    </row>
    <row r="7" spans="1:36" ht="14" x14ac:dyDescent="0.3">
      <c r="A7" s="20" t="s">
        <v>6</v>
      </c>
      <c r="B7" s="197">
        <v>2920</v>
      </c>
      <c r="C7" s="197">
        <v>4</v>
      </c>
      <c r="D7" s="76" t="s">
        <v>174</v>
      </c>
      <c r="E7" s="77">
        <v>0</v>
      </c>
      <c r="F7" s="83">
        <f t="shared" si="0"/>
        <v>0</v>
      </c>
      <c r="G7" s="79">
        <v>0</v>
      </c>
      <c r="H7" s="80">
        <v>0</v>
      </c>
      <c r="I7" s="76" t="s">
        <v>174</v>
      </c>
      <c r="J7" s="77">
        <v>0</v>
      </c>
      <c r="K7" s="79">
        <v>0</v>
      </c>
      <c r="L7" s="80">
        <v>0</v>
      </c>
      <c r="M7" s="85" t="s">
        <v>174</v>
      </c>
      <c r="N7" s="82">
        <v>0</v>
      </c>
      <c r="O7" s="76" t="s">
        <v>209</v>
      </c>
      <c r="P7" s="79">
        <v>0.5</v>
      </c>
      <c r="Q7" s="80">
        <v>0.25</v>
      </c>
      <c r="R7" s="85" t="s">
        <v>174</v>
      </c>
      <c r="S7" s="198">
        <v>0</v>
      </c>
      <c r="T7" s="199">
        <f t="shared" si="1"/>
        <v>0</v>
      </c>
      <c r="U7" s="81">
        <v>0</v>
      </c>
      <c r="V7" s="82">
        <v>0</v>
      </c>
      <c r="W7" s="76" t="s">
        <v>174</v>
      </c>
      <c r="X7" s="84">
        <v>0</v>
      </c>
      <c r="Y7" s="79">
        <v>0</v>
      </c>
      <c r="Z7" s="80">
        <v>0</v>
      </c>
      <c r="AA7" s="85" t="s">
        <v>174</v>
      </c>
      <c r="AB7" s="82">
        <v>0</v>
      </c>
      <c r="AC7" s="76" t="s">
        <v>174</v>
      </c>
      <c r="AD7" s="80">
        <v>0</v>
      </c>
      <c r="AE7" s="23" t="s">
        <v>174</v>
      </c>
      <c r="AF7" s="80">
        <v>0</v>
      </c>
      <c r="AG7" s="128">
        <f t="shared" si="2"/>
        <v>0.75</v>
      </c>
      <c r="AH7" s="87">
        <f t="shared" ref="AH7:AH52" si="3">(AG7/13.5)*100</f>
        <v>5.5555555555555554</v>
      </c>
      <c r="AI7" s="200"/>
      <c r="AJ7" s="20"/>
    </row>
    <row r="8" spans="1:36" ht="14" x14ac:dyDescent="0.3">
      <c r="A8" s="20" t="s">
        <v>178</v>
      </c>
      <c r="B8" s="197">
        <v>2610</v>
      </c>
      <c r="C8" s="197">
        <v>5</v>
      </c>
      <c r="D8" s="76" t="s">
        <v>174</v>
      </c>
      <c r="E8" s="77">
        <v>0</v>
      </c>
      <c r="F8" s="83">
        <f t="shared" si="0"/>
        <v>0</v>
      </c>
      <c r="G8" s="79">
        <v>0</v>
      </c>
      <c r="H8" s="80">
        <v>0</v>
      </c>
      <c r="I8" s="76" t="s">
        <v>174</v>
      </c>
      <c r="J8" s="77">
        <v>0</v>
      </c>
      <c r="K8" s="79">
        <v>0</v>
      </c>
      <c r="L8" s="80">
        <v>0</v>
      </c>
      <c r="M8" s="85" t="s">
        <v>174</v>
      </c>
      <c r="N8" s="82">
        <v>0</v>
      </c>
      <c r="O8" s="76" t="s">
        <v>209</v>
      </c>
      <c r="P8" s="79">
        <v>0.5</v>
      </c>
      <c r="Q8" s="80">
        <v>0.25</v>
      </c>
      <c r="R8" s="85" t="s">
        <v>174</v>
      </c>
      <c r="S8" s="198">
        <v>0</v>
      </c>
      <c r="T8" s="199">
        <f t="shared" si="1"/>
        <v>0</v>
      </c>
      <c r="U8" s="81">
        <v>0</v>
      </c>
      <c r="V8" s="82">
        <v>0</v>
      </c>
      <c r="W8" s="76" t="s">
        <v>174</v>
      </c>
      <c r="X8" s="84">
        <v>0</v>
      </c>
      <c r="Y8" s="79">
        <v>0</v>
      </c>
      <c r="Z8" s="80">
        <v>0</v>
      </c>
      <c r="AA8" s="85" t="s">
        <v>174</v>
      </c>
      <c r="AB8" s="82">
        <v>0</v>
      </c>
      <c r="AC8" s="76" t="s">
        <v>174</v>
      </c>
      <c r="AD8" s="80">
        <v>0</v>
      </c>
      <c r="AE8" s="23" t="s">
        <v>175</v>
      </c>
      <c r="AF8" s="80">
        <v>2</v>
      </c>
      <c r="AG8" s="128">
        <f t="shared" si="2"/>
        <v>2.75</v>
      </c>
      <c r="AH8" s="87">
        <f t="shared" si="3"/>
        <v>20.37037037037037</v>
      </c>
      <c r="AI8" s="200"/>
      <c r="AJ8" s="241"/>
    </row>
    <row r="9" spans="1:36" ht="14" x14ac:dyDescent="0.3">
      <c r="A9" s="20" t="s">
        <v>8</v>
      </c>
      <c r="B9" s="197">
        <v>1430</v>
      </c>
      <c r="C9" s="197">
        <v>2</v>
      </c>
      <c r="D9" s="76" t="s">
        <v>174</v>
      </c>
      <c r="E9" s="77">
        <v>0</v>
      </c>
      <c r="F9" s="83">
        <f t="shared" si="0"/>
        <v>0</v>
      </c>
      <c r="G9" s="79">
        <v>0</v>
      </c>
      <c r="H9" s="80">
        <v>0</v>
      </c>
      <c r="I9" s="76" t="s">
        <v>174</v>
      </c>
      <c r="J9" s="77">
        <v>0</v>
      </c>
      <c r="K9" s="79">
        <v>0</v>
      </c>
      <c r="L9" s="80">
        <v>0</v>
      </c>
      <c r="M9" s="85" t="s">
        <v>174</v>
      </c>
      <c r="N9" s="82">
        <v>0</v>
      </c>
      <c r="O9" s="76" t="s">
        <v>209</v>
      </c>
      <c r="P9" s="79">
        <v>0.5</v>
      </c>
      <c r="Q9" s="80">
        <v>0.25</v>
      </c>
      <c r="R9" s="85" t="s">
        <v>175</v>
      </c>
      <c r="S9" s="198">
        <v>1</v>
      </c>
      <c r="T9" s="199">
        <f t="shared" si="1"/>
        <v>50</v>
      </c>
      <c r="U9" s="81">
        <v>2</v>
      </c>
      <c r="V9" s="82">
        <v>0.5</v>
      </c>
      <c r="W9" s="76" t="s">
        <v>174</v>
      </c>
      <c r="X9" s="84">
        <v>0</v>
      </c>
      <c r="Y9" s="79">
        <v>0</v>
      </c>
      <c r="Z9" s="80">
        <v>0</v>
      </c>
      <c r="AA9" s="85" t="s">
        <v>174</v>
      </c>
      <c r="AB9" s="82">
        <v>0</v>
      </c>
      <c r="AC9" s="76" t="s">
        <v>174</v>
      </c>
      <c r="AD9" s="80">
        <v>0</v>
      </c>
      <c r="AE9" s="23" t="s">
        <v>175</v>
      </c>
      <c r="AF9" s="80">
        <v>0.75</v>
      </c>
      <c r="AG9" s="128">
        <f t="shared" si="2"/>
        <v>4</v>
      </c>
      <c r="AH9" s="87">
        <f t="shared" si="3"/>
        <v>29.629629629629626</v>
      </c>
      <c r="AI9" s="201"/>
      <c r="AJ9" s="20"/>
    </row>
    <row r="10" spans="1:36" ht="14" x14ac:dyDescent="0.3">
      <c r="A10" s="20" t="s">
        <v>9</v>
      </c>
      <c r="B10" s="197">
        <v>2510</v>
      </c>
      <c r="C10" s="197">
        <v>3</v>
      </c>
      <c r="D10" s="76" t="s">
        <v>174</v>
      </c>
      <c r="E10" s="77">
        <v>0</v>
      </c>
      <c r="F10" s="83">
        <f t="shared" si="0"/>
        <v>0</v>
      </c>
      <c r="G10" s="79">
        <v>0</v>
      </c>
      <c r="H10" s="80">
        <v>0</v>
      </c>
      <c r="I10" s="76" t="s">
        <v>174</v>
      </c>
      <c r="J10" s="77">
        <v>0</v>
      </c>
      <c r="K10" s="79">
        <v>0</v>
      </c>
      <c r="L10" s="80">
        <v>0</v>
      </c>
      <c r="M10" s="85" t="s">
        <v>174</v>
      </c>
      <c r="N10" s="82">
        <v>0</v>
      </c>
      <c r="O10" s="76" t="s">
        <v>107</v>
      </c>
      <c r="P10" s="79">
        <v>0.25</v>
      </c>
      <c r="Q10" s="80">
        <v>0.25</v>
      </c>
      <c r="R10" s="85" t="s">
        <v>174</v>
      </c>
      <c r="S10" s="198">
        <v>0</v>
      </c>
      <c r="T10" s="199">
        <f t="shared" si="1"/>
        <v>0</v>
      </c>
      <c r="U10" s="81">
        <v>0</v>
      </c>
      <c r="V10" s="82">
        <v>0</v>
      </c>
      <c r="W10" s="76" t="s">
        <v>174</v>
      </c>
      <c r="X10" s="84">
        <v>0</v>
      </c>
      <c r="Y10" s="79">
        <v>0</v>
      </c>
      <c r="Z10" s="80">
        <v>0</v>
      </c>
      <c r="AA10" s="85" t="s">
        <v>174</v>
      </c>
      <c r="AB10" s="82">
        <v>0</v>
      </c>
      <c r="AC10" s="76" t="s">
        <v>174</v>
      </c>
      <c r="AD10" s="80">
        <v>0</v>
      </c>
      <c r="AE10" s="23" t="s">
        <v>174</v>
      </c>
      <c r="AF10" s="80">
        <v>0</v>
      </c>
      <c r="AG10" s="128">
        <f t="shared" si="2"/>
        <v>0.5</v>
      </c>
      <c r="AH10" s="87">
        <f t="shared" si="3"/>
        <v>3.7037037037037033</v>
      </c>
      <c r="AI10" s="200"/>
      <c r="AJ10" s="20"/>
    </row>
    <row r="11" spans="1:36" ht="14" x14ac:dyDescent="0.3">
      <c r="A11" s="20" t="s">
        <v>10</v>
      </c>
      <c r="B11" s="197">
        <v>7440</v>
      </c>
      <c r="C11" s="197">
        <v>10</v>
      </c>
      <c r="D11" s="76" t="s">
        <v>175</v>
      </c>
      <c r="E11" s="77">
        <v>1</v>
      </c>
      <c r="F11" s="83">
        <f t="shared" si="0"/>
        <v>10</v>
      </c>
      <c r="G11" s="79">
        <v>1</v>
      </c>
      <c r="H11" s="80">
        <v>0.1</v>
      </c>
      <c r="I11" s="76" t="s">
        <v>174</v>
      </c>
      <c r="J11" s="77">
        <v>0</v>
      </c>
      <c r="K11" s="79">
        <v>0</v>
      </c>
      <c r="L11" s="80">
        <v>0</v>
      </c>
      <c r="M11" s="85" t="s">
        <v>174</v>
      </c>
      <c r="N11" s="82">
        <v>0</v>
      </c>
      <c r="O11" s="76" t="s">
        <v>209</v>
      </c>
      <c r="P11" s="79">
        <v>0.5</v>
      </c>
      <c r="Q11" s="80">
        <v>0.25</v>
      </c>
      <c r="R11" s="85" t="s">
        <v>175</v>
      </c>
      <c r="S11" s="198">
        <v>2</v>
      </c>
      <c r="T11" s="199">
        <f t="shared" si="1"/>
        <v>20</v>
      </c>
      <c r="U11" s="81">
        <v>2</v>
      </c>
      <c r="V11" s="82">
        <v>0.2</v>
      </c>
      <c r="W11" s="76" t="s">
        <v>174</v>
      </c>
      <c r="X11" s="84">
        <v>0</v>
      </c>
      <c r="Y11" s="79">
        <v>0</v>
      </c>
      <c r="Z11" s="80">
        <v>0</v>
      </c>
      <c r="AA11" s="85" t="s">
        <v>174</v>
      </c>
      <c r="AB11" s="82">
        <v>0</v>
      </c>
      <c r="AC11" s="76" t="s">
        <v>174</v>
      </c>
      <c r="AD11" s="80">
        <v>0</v>
      </c>
      <c r="AE11" s="23" t="s">
        <v>175</v>
      </c>
      <c r="AF11" s="80">
        <v>1.5</v>
      </c>
      <c r="AG11" s="128">
        <f t="shared" si="2"/>
        <v>5.55</v>
      </c>
      <c r="AH11" s="87">
        <f t="shared" si="3"/>
        <v>41.111111111111107</v>
      </c>
      <c r="AI11" s="201"/>
      <c r="AJ11" s="20"/>
    </row>
    <row r="12" spans="1:36" ht="14" x14ac:dyDescent="0.3">
      <c r="A12" s="20" t="s">
        <v>11</v>
      </c>
      <c r="B12" s="197">
        <v>4000</v>
      </c>
      <c r="C12" s="197">
        <v>5</v>
      </c>
      <c r="D12" s="76" t="s">
        <v>175</v>
      </c>
      <c r="E12" s="77">
        <v>3</v>
      </c>
      <c r="F12" s="83">
        <f t="shared" si="0"/>
        <v>60</v>
      </c>
      <c r="G12" s="79">
        <v>1</v>
      </c>
      <c r="H12" s="80">
        <v>0.6</v>
      </c>
      <c r="I12" s="76" t="s">
        <v>174</v>
      </c>
      <c r="J12" s="77">
        <v>0</v>
      </c>
      <c r="K12" s="79">
        <v>0</v>
      </c>
      <c r="L12" s="80">
        <v>0</v>
      </c>
      <c r="M12" s="85" t="s">
        <v>175</v>
      </c>
      <c r="N12" s="82">
        <v>1</v>
      </c>
      <c r="O12" s="76" t="s">
        <v>208</v>
      </c>
      <c r="P12" s="79">
        <v>1</v>
      </c>
      <c r="Q12" s="80">
        <v>0</v>
      </c>
      <c r="R12" s="85" t="s">
        <v>175</v>
      </c>
      <c r="S12" s="198">
        <v>4</v>
      </c>
      <c r="T12" s="199">
        <f t="shared" si="1"/>
        <v>80</v>
      </c>
      <c r="U12" s="81">
        <v>2</v>
      </c>
      <c r="V12" s="82">
        <v>0.8</v>
      </c>
      <c r="W12" s="76" t="s">
        <v>175</v>
      </c>
      <c r="X12" s="84">
        <v>2</v>
      </c>
      <c r="Y12" s="79">
        <v>1</v>
      </c>
      <c r="Z12" s="80">
        <v>0.2</v>
      </c>
      <c r="AA12" s="85" t="s">
        <v>175</v>
      </c>
      <c r="AB12" s="82">
        <v>1</v>
      </c>
      <c r="AC12" s="76" t="s">
        <v>174</v>
      </c>
      <c r="AD12" s="80">
        <v>0</v>
      </c>
      <c r="AE12" s="23" t="s">
        <v>175</v>
      </c>
      <c r="AF12" s="80">
        <v>1</v>
      </c>
      <c r="AG12" s="128">
        <f t="shared" si="2"/>
        <v>9.6</v>
      </c>
      <c r="AH12" s="87">
        <f t="shared" si="3"/>
        <v>71.111111111111114</v>
      </c>
      <c r="AI12" s="263"/>
      <c r="AJ12" s="20" t="s">
        <v>273</v>
      </c>
    </row>
    <row r="13" spans="1:36" ht="14" x14ac:dyDescent="0.3">
      <c r="A13" s="20" t="s">
        <v>12</v>
      </c>
      <c r="B13" s="197">
        <v>3050</v>
      </c>
      <c r="C13" s="197">
        <v>4</v>
      </c>
      <c r="D13" s="76" t="s">
        <v>174</v>
      </c>
      <c r="E13" s="77">
        <v>0</v>
      </c>
      <c r="F13" s="83">
        <f t="shared" si="0"/>
        <v>0</v>
      </c>
      <c r="G13" s="79">
        <v>0</v>
      </c>
      <c r="H13" s="80">
        <v>0</v>
      </c>
      <c r="I13" s="76" t="s">
        <v>174</v>
      </c>
      <c r="J13" s="77">
        <v>0</v>
      </c>
      <c r="K13" s="79">
        <v>0</v>
      </c>
      <c r="L13" s="80">
        <v>0</v>
      </c>
      <c r="M13" s="85" t="s">
        <v>174</v>
      </c>
      <c r="N13" s="82">
        <v>0</v>
      </c>
      <c r="O13" s="76" t="s">
        <v>106</v>
      </c>
      <c r="P13" s="79">
        <v>0.67</v>
      </c>
      <c r="Q13" s="80">
        <v>0</v>
      </c>
      <c r="R13" s="85" t="s">
        <v>174</v>
      </c>
      <c r="S13" s="198">
        <v>0</v>
      </c>
      <c r="T13" s="199">
        <f t="shared" si="1"/>
        <v>0</v>
      </c>
      <c r="U13" s="81">
        <v>0</v>
      </c>
      <c r="V13" s="82">
        <v>0</v>
      </c>
      <c r="W13" s="76" t="s">
        <v>174</v>
      </c>
      <c r="X13" s="84">
        <v>0</v>
      </c>
      <c r="Y13" s="79">
        <v>0</v>
      </c>
      <c r="Z13" s="80">
        <v>0</v>
      </c>
      <c r="AA13" s="85" t="s">
        <v>174</v>
      </c>
      <c r="AB13" s="82">
        <v>0</v>
      </c>
      <c r="AC13" s="76" t="s">
        <v>174</v>
      </c>
      <c r="AD13" s="80">
        <v>0</v>
      </c>
      <c r="AE13" s="23" t="s">
        <v>175</v>
      </c>
      <c r="AF13" s="80">
        <v>1.25</v>
      </c>
      <c r="AG13" s="128">
        <f t="shared" si="2"/>
        <v>1.92</v>
      </c>
      <c r="AH13" s="87">
        <f t="shared" si="3"/>
        <v>14.222222222222221</v>
      </c>
      <c r="AI13" s="200"/>
      <c r="AJ13" s="20"/>
    </row>
    <row r="14" spans="1:36" ht="14" x14ac:dyDescent="0.3">
      <c r="A14" s="20" t="s">
        <v>13</v>
      </c>
      <c r="B14" s="202" t="s">
        <v>50</v>
      </c>
      <c r="C14" s="197">
        <v>1</v>
      </c>
      <c r="D14" s="76" t="s">
        <v>174</v>
      </c>
      <c r="E14" s="77">
        <v>0</v>
      </c>
      <c r="F14" s="83">
        <f t="shared" si="0"/>
        <v>0</v>
      </c>
      <c r="G14" s="79">
        <v>0</v>
      </c>
      <c r="H14" s="80">
        <v>0</v>
      </c>
      <c r="I14" s="76" t="s">
        <v>174</v>
      </c>
      <c r="J14" s="77">
        <v>0</v>
      </c>
      <c r="K14" s="79">
        <v>0</v>
      </c>
      <c r="L14" s="80">
        <v>0</v>
      </c>
      <c r="M14" s="85" t="s">
        <v>174</v>
      </c>
      <c r="N14" s="82">
        <v>0</v>
      </c>
      <c r="O14" s="76" t="s">
        <v>209</v>
      </c>
      <c r="P14" s="79">
        <v>0.5</v>
      </c>
      <c r="Q14" s="80">
        <v>0.25</v>
      </c>
      <c r="R14" s="85" t="s">
        <v>174</v>
      </c>
      <c r="S14" s="198">
        <v>0</v>
      </c>
      <c r="T14" s="199">
        <f t="shared" si="1"/>
        <v>0</v>
      </c>
      <c r="U14" s="81">
        <v>0</v>
      </c>
      <c r="V14" s="82">
        <v>0</v>
      </c>
      <c r="W14" s="76" t="s">
        <v>174</v>
      </c>
      <c r="X14" s="84">
        <v>0</v>
      </c>
      <c r="Y14" s="79">
        <v>0</v>
      </c>
      <c r="Z14" s="80">
        <v>0</v>
      </c>
      <c r="AA14" s="85" t="s">
        <v>174</v>
      </c>
      <c r="AB14" s="82">
        <v>0</v>
      </c>
      <c r="AC14" s="76" t="s">
        <v>174</v>
      </c>
      <c r="AD14" s="80">
        <v>0</v>
      </c>
      <c r="AE14" s="23" t="s">
        <v>175</v>
      </c>
      <c r="AF14" s="80">
        <v>2</v>
      </c>
      <c r="AG14" s="128">
        <f t="shared" si="2"/>
        <v>2.75</v>
      </c>
      <c r="AH14" s="87">
        <f t="shared" si="3"/>
        <v>20.37037037037037</v>
      </c>
      <c r="AI14" s="88"/>
      <c r="AJ14" s="20"/>
    </row>
    <row r="15" spans="1:36" ht="14" x14ac:dyDescent="0.3">
      <c r="A15" s="20" t="s">
        <v>14</v>
      </c>
      <c r="B15" s="197">
        <v>870</v>
      </c>
      <c r="C15" s="197">
        <v>1</v>
      </c>
      <c r="D15" s="76" t="s">
        <v>174</v>
      </c>
      <c r="E15" s="77">
        <v>0</v>
      </c>
      <c r="F15" s="83">
        <f t="shared" si="0"/>
        <v>0</v>
      </c>
      <c r="G15" s="79">
        <v>0</v>
      </c>
      <c r="H15" s="80">
        <v>0</v>
      </c>
      <c r="I15" s="76" t="s">
        <v>174</v>
      </c>
      <c r="J15" s="77">
        <v>0</v>
      </c>
      <c r="K15" s="79">
        <v>0</v>
      </c>
      <c r="L15" s="80">
        <v>0</v>
      </c>
      <c r="M15" s="85" t="s">
        <v>174</v>
      </c>
      <c r="N15" s="82">
        <v>0</v>
      </c>
      <c r="O15" s="76" t="s">
        <v>71</v>
      </c>
      <c r="P15" s="79">
        <v>0.75</v>
      </c>
      <c r="Q15" s="80">
        <v>0</v>
      </c>
      <c r="R15" s="85" t="s">
        <v>174</v>
      </c>
      <c r="S15" s="198">
        <v>0</v>
      </c>
      <c r="T15" s="199">
        <f t="shared" si="1"/>
        <v>0</v>
      </c>
      <c r="U15" s="81">
        <v>0</v>
      </c>
      <c r="V15" s="82">
        <v>0</v>
      </c>
      <c r="W15" s="76" t="s">
        <v>174</v>
      </c>
      <c r="X15" s="84">
        <v>0</v>
      </c>
      <c r="Y15" s="79">
        <v>0</v>
      </c>
      <c r="Z15" s="80">
        <v>0</v>
      </c>
      <c r="AA15" s="85" t="s">
        <v>174</v>
      </c>
      <c r="AB15" s="82">
        <v>0</v>
      </c>
      <c r="AC15" s="76" t="s">
        <v>174</v>
      </c>
      <c r="AD15" s="80">
        <v>0</v>
      </c>
      <c r="AE15" s="23" t="s">
        <v>174</v>
      </c>
      <c r="AF15" s="80">
        <v>0</v>
      </c>
      <c r="AG15" s="128">
        <f t="shared" si="2"/>
        <v>0.75</v>
      </c>
      <c r="AH15" s="87">
        <f t="shared" si="3"/>
        <v>5.5555555555555554</v>
      </c>
      <c r="AI15" s="88"/>
      <c r="AJ15" s="20"/>
    </row>
    <row r="16" spans="1:36" ht="14" x14ac:dyDescent="0.3">
      <c r="A16" s="20" t="s">
        <v>15</v>
      </c>
      <c r="B16" s="197">
        <v>1570</v>
      </c>
      <c r="C16" s="197">
        <v>2</v>
      </c>
      <c r="D16" s="76" t="s">
        <v>174</v>
      </c>
      <c r="E16" s="77">
        <v>0</v>
      </c>
      <c r="F16" s="83">
        <f t="shared" si="0"/>
        <v>0</v>
      </c>
      <c r="G16" s="79">
        <v>0</v>
      </c>
      <c r="H16" s="80">
        <v>0</v>
      </c>
      <c r="I16" s="76" t="s">
        <v>174</v>
      </c>
      <c r="J16" s="77">
        <v>0</v>
      </c>
      <c r="K16" s="79">
        <v>0</v>
      </c>
      <c r="L16" s="80">
        <v>0</v>
      </c>
      <c r="M16" s="85" t="s">
        <v>174</v>
      </c>
      <c r="N16" s="82">
        <v>0</v>
      </c>
      <c r="O16" s="76" t="s">
        <v>71</v>
      </c>
      <c r="P16" s="79">
        <v>0.75</v>
      </c>
      <c r="Q16" s="80">
        <v>0</v>
      </c>
      <c r="R16" s="85" t="s">
        <v>174</v>
      </c>
      <c r="S16" s="198">
        <v>0</v>
      </c>
      <c r="T16" s="199">
        <f t="shared" si="1"/>
        <v>0</v>
      </c>
      <c r="U16" s="81">
        <v>0</v>
      </c>
      <c r="V16" s="82">
        <v>0</v>
      </c>
      <c r="W16" s="76" t="s">
        <v>174</v>
      </c>
      <c r="X16" s="84">
        <v>0</v>
      </c>
      <c r="Y16" s="79">
        <v>0</v>
      </c>
      <c r="Z16" s="80">
        <v>0</v>
      </c>
      <c r="AA16" s="85" t="s">
        <v>174</v>
      </c>
      <c r="AB16" s="82">
        <v>0</v>
      </c>
      <c r="AC16" s="76" t="s">
        <v>174</v>
      </c>
      <c r="AD16" s="80">
        <v>0</v>
      </c>
      <c r="AE16" s="23" t="s">
        <v>174</v>
      </c>
      <c r="AF16" s="80">
        <v>0</v>
      </c>
      <c r="AG16" s="128">
        <f t="shared" si="2"/>
        <v>0.75</v>
      </c>
      <c r="AH16" s="87">
        <f t="shared" si="3"/>
        <v>5.5555555555555554</v>
      </c>
      <c r="AI16" s="88"/>
      <c r="AJ16" s="20"/>
    </row>
    <row r="17" spans="1:36" ht="14" x14ac:dyDescent="0.3">
      <c r="A17" s="20" t="s">
        <v>16</v>
      </c>
      <c r="B17" s="197">
        <v>10070</v>
      </c>
      <c r="C17" s="197">
        <v>14</v>
      </c>
      <c r="D17" s="76" t="s">
        <v>175</v>
      </c>
      <c r="E17" s="77">
        <v>2</v>
      </c>
      <c r="F17" s="83">
        <f t="shared" si="0"/>
        <v>14.285714285714285</v>
      </c>
      <c r="G17" s="79">
        <v>1</v>
      </c>
      <c r="H17" s="80">
        <v>0.1</v>
      </c>
      <c r="I17" s="76" t="s">
        <v>174</v>
      </c>
      <c r="J17" s="77">
        <v>0</v>
      </c>
      <c r="K17" s="79">
        <v>0</v>
      </c>
      <c r="L17" s="80">
        <v>0</v>
      </c>
      <c r="M17" s="85" t="s">
        <v>174</v>
      </c>
      <c r="N17" s="82">
        <v>0</v>
      </c>
      <c r="O17" s="76" t="s">
        <v>107</v>
      </c>
      <c r="P17" s="79">
        <v>0.25</v>
      </c>
      <c r="Q17" s="80">
        <v>0.25</v>
      </c>
      <c r="R17" s="85" t="s">
        <v>175</v>
      </c>
      <c r="S17" s="198">
        <v>4</v>
      </c>
      <c r="T17" s="199">
        <f t="shared" si="1"/>
        <v>28.571428571428569</v>
      </c>
      <c r="U17" s="81">
        <v>2</v>
      </c>
      <c r="V17" s="82">
        <v>0.2</v>
      </c>
      <c r="W17" s="76" t="s">
        <v>175</v>
      </c>
      <c r="X17" s="84">
        <v>1</v>
      </c>
      <c r="Y17" s="79">
        <v>1</v>
      </c>
      <c r="Z17" s="80">
        <v>0.1</v>
      </c>
      <c r="AA17" s="85" t="s">
        <v>174</v>
      </c>
      <c r="AB17" s="82">
        <v>0</v>
      </c>
      <c r="AC17" s="76" t="s">
        <v>174</v>
      </c>
      <c r="AD17" s="80">
        <v>0</v>
      </c>
      <c r="AE17" s="23" t="s">
        <v>175</v>
      </c>
      <c r="AF17" s="80">
        <v>1</v>
      </c>
      <c r="AG17" s="128">
        <f t="shared" si="2"/>
        <v>5.9</v>
      </c>
      <c r="AH17" s="87">
        <f t="shared" si="3"/>
        <v>43.703703703703702</v>
      </c>
      <c r="AI17" s="90"/>
      <c r="AJ17" s="20"/>
    </row>
    <row r="18" spans="1:36" ht="14" x14ac:dyDescent="0.3">
      <c r="A18" s="20" t="s">
        <v>17</v>
      </c>
      <c r="B18" s="197">
        <v>12570</v>
      </c>
      <c r="C18" s="197">
        <v>18</v>
      </c>
      <c r="D18" s="76" t="s">
        <v>175</v>
      </c>
      <c r="E18" s="77">
        <v>9</v>
      </c>
      <c r="F18" s="83">
        <f t="shared" si="0"/>
        <v>50</v>
      </c>
      <c r="G18" s="79">
        <v>1</v>
      </c>
      <c r="H18" s="80">
        <v>0.5</v>
      </c>
      <c r="I18" s="76" t="s">
        <v>175</v>
      </c>
      <c r="J18" s="77">
        <v>5</v>
      </c>
      <c r="K18" s="79">
        <v>1</v>
      </c>
      <c r="L18" s="80">
        <v>0.5</v>
      </c>
      <c r="M18" s="85" t="s">
        <v>175</v>
      </c>
      <c r="N18" s="82">
        <v>1</v>
      </c>
      <c r="O18" s="76" t="s">
        <v>208</v>
      </c>
      <c r="P18" s="79">
        <v>1</v>
      </c>
      <c r="Q18" s="80">
        <v>0</v>
      </c>
      <c r="R18" s="85" t="s">
        <v>175</v>
      </c>
      <c r="S18" s="198">
        <v>10</v>
      </c>
      <c r="T18" s="199">
        <f t="shared" si="1"/>
        <v>55.555555555555557</v>
      </c>
      <c r="U18" s="81">
        <v>2</v>
      </c>
      <c r="V18" s="82">
        <v>0.5</v>
      </c>
      <c r="W18" s="76" t="s">
        <v>175</v>
      </c>
      <c r="X18" s="84">
        <v>1</v>
      </c>
      <c r="Y18" s="79">
        <v>1</v>
      </c>
      <c r="Z18" s="80">
        <v>0.1</v>
      </c>
      <c r="AA18" s="85" t="s">
        <v>175</v>
      </c>
      <c r="AB18" s="82">
        <v>1</v>
      </c>
      <c r="AC18" s="76" t="s">
        <v>175</v>
      </c>
      <c r="AD18" s="80">
        <v>0.25</v>
      </c>
      <c r="AE18" s="23" t="s">
        <v>175</v>
      </c>
      <c r="AF18" s="80">
        <v>1.25</v>
      </c>
      <c r="AG18" s="128">
        <f t="shared" si="2"/>
        <v>11.1</v>
      </c>
      <c r="AH18" s="87">
        <f t="shared" si="3"/>
        <v>82.222222222222214</v>
      </c>
      <c r="AI18" s="256"/>
      <c r="AJ18" s="20"/>
    </row>
    <row r="19" spans="1:36" ht="14" x14ac:dyDescent="0.3">
      <c r="A19" s="20" t="s">
        <v>18</v>
      </c>
      <c r="B19" s="202" t="s">
        <v>50</v>
      </c>
      <c r="C19" s="197">
        <v>1</v>
      </c>
      <c r="D19" s="76" t="s">
        <v>174</v>
      </c>
      <c r="E19" s="77">
        <v>0</v>
      </c>
      <c r="F19" s="83">
        <f t="shared" si="0"/>
        <v>0</v>
      </c>
      <c r="G19" s="79">
        <v>0</v>
      </c>
      <c r="H19" s="80">
        <v>0</v>
      </c>
      <c r="I19" s="76" t="s">
        <v>174</v>
      </c>
      <c r="J19" s="77">
        <v>0</v>
      </c>
      <c r="K19" s="79">
        <v>0</v>
      </c>
      <c r="L19" s="80">
        <v>0</v>
      </c>
      <c r="M19" s="85" t="s">
        <v>174</v>
      </c>
      <c r="N19" s="82">
        <v>0</v>
      </c>
      <c r="O19" s="76" t="s">
        <v>107</v>
      </c>
      <c r="P19" s="79">
        <v>0.25</v>
      </c>
      <c r="Q19" s="80">
        <v>0.25</v>
      </c>
      <c r="R19" s="85" t="s">
        <v>175</v>
      </c>
      <c r="S19" s="198">
        <v>1</v>
      </c>
      <c r="T19" s="199">
        <f t="shared" si="1"/>
        <v>100</v>
      </c>
      <c r="U19" s="81">
        <v>2</v>
      </c>
      <c r="V19" s="82">
        <v>1</v>
      </c>
      <c r="W19" s="76" t="s">
        <v>174</v>
      </c>
      <c r="X19" s="84">
        <v>0</v>
      </c>
      <c r="Y19" s="79">
        <v>0</v>
      </c>
      <c r="Z19" s="80">
        <v>0</v>
      </c>
      <c r="AA19" s="85" t="s">
        <v>174</v>
      </c>
      <c r="AB19" s="82">
        <v>0</v>
      </c>
      <c r="AC19" s="76" t="s">
        <v>174</v>
      </c>
      <c r="AD19" s="80">
        <v>0</v>
      </c>
      <c r="AE19" s="23" t="s">
        <v>175</v>
      </c>
      <c r="AF19" s="80">
        <v>2</v>
      </c>
      <c r="AG19" s="128">
        <f t="shared" si="2"/>
        <v>5.5</v>
      </c>
      <c r="AH19" s="87">
        <f t="shared" si="3"/>
        <v>40.74074074074074</v>
      </c>
      <c r="AI19" s="90"/>
      <c r="AJ19" s="20"/>
    </row>
    <row r="20" spans="1:36" ht="14" x14ac:dyDescent="0.3">
      <c r="A20" s="20" t="s">
        <v>19</v>
      </c>
      <c r="B20" s="197">
        <v>560</v>
      </c>
      <c r="C20" s="197">
        <v>1</v>
      </c>
      <c r="D20" s="76" t="s">
        <v>174</v>
      </c>
      <c r="E20" s="77">
        <v>0</v>
      </c>
      <c r="F20" s="83">
        <f t="shared" si="0"/>
        <v>0</v>
      </c>
      <c r="G20" s="79">
        <v>0</v>
      </c>
      <c r="H20" s="80">
        <v>0</v>
      </c>
      <c r="I20" s="76" t="s">
        <v>174</v>
      </c>
      <c r="J20" s="77">
        <v>0</v>
      </c>
      <c r="K20" s="79">
        <v>0</v>
      </c>
      <c r="L20" s="80">
        <v>0</v>
      </c>
      <c r="M20" s="85" t="s">
        <v>174</v>
      </c>
      <c r="N20" s="82">
        <v>0</v>
      </c>
      <c r="O20" s="76" t="s">
        <v>208</v>
      </c>
      <c r="P20" s="79">
        <v>1</v>
      </c>
      <c r="Q20" s="80">
        <v>0</v>
      </c>
      <c r="R20" s="85" t="s">
        <v>174</v>
      </c>
      <c r="S20" s="198">
        <v>0</v>
      </c>
      <c r="T20" s="199">
        <f t="shared" si="1"/>
        <v>0</v>
      </c>
      <c r="U20" s="81">
        <v>0</v>
      </c>
      <c r="V20" s="82">
        <v>0</v>
      </c>
      <c r="W20" s="76" t="s">
        <v>174</v>
      </c>
      <c r="X20" s="84">
        <v>0</v>
      </c>
      <c r="Y20" s="79">
        <v>0</v>
      </c>
      <c r="Z20" s="80">
        <v>0</v>
      </c>
      <c r="AA20" s="85" t="s">
        <v>174</v>
      </c>
      <c r="AB20" s="82">
        <v>0</v>
      </c>
      <c r="AC20" s="76" t="s">
        <v>174</v>
      </c>
      <c r="AD20" s="80">
        <v>0</v>
      </c>
      <c r="AE20" s="23" t="s">
        <v>174</v>
      </c>
      <c r="AF20" s="80">
        <v>0</v>
      </c>
      <c r="AG20" s="128">
        <f t="shared" si="2"/>
        <v>1</v>
      </c>
      <c r="AH20" s="87">
        <f t="shared" si="3"/>
        <v>7.4074074074074066</v>
      </c>
      <c r="AI20" s="88"/>
      <c r="AJ20" s="20"/>
    </row>
    <row r="21" spans="1:36" ht="14" x14ac:dyDescent="0.3">
      <c r="A21" s="20" t="s">
        <v>20</v>
      </c>
      <c r="B21" s="197">
        <v>4550</v>
      </c>
      <c r="C21" s="197">
        <v>5</v>
      </c>
      <c r="D21" s="76" t="s">
        <v>175</v>
      </c>
      <c r="E21" s="77">
        <v>1</v>
      </c>
      <c r="F21" s="83">
        <f t="shared" si="0"/>
        <v>20</v>
      </c>
      <c r="G21" s="79">
        <v>1</v>
      </c>
      <c r="H21" s="80">
        <v>0.2</v>
      </c>
      <c r="I21" s="76" t="s">
        <v>174</v>
      </c>
      <c r="J21" s="77">
        <v>0</v>
      </c>
      <c r="K21" s="79">
        <v>0</v>
      </c>
      <c r="L21" s="80">
        <v>0</v>
      </c>
      <c r="M21" s="85" t="s">
        <v>175</v>
      </c>
      <c r="N21" s="82">
        <v>1</v>
      </c>
      <c r="O21" s="76" t="s">
        <v>209</v>
      </c>
      <c r="P21" s="79">
        <v>0.5</v>
      </c>
      <c r="Q21" s="80">
        <v>0.25</v>
      </c>
      <c r="R21" s="85" t="s">
        <v>175</v>
      </c>
      <c r="S21" s="198">
        <v>4</v>
      </c>
      <c r="T21" s="199">
        <f t="shared" si="1"/>
        <v>80</v>
      </c>
      <c r="U21" s="81">
        <v>2</v>
      </c>
      <c r="V21" s="82">
        <v>0.8</v>
      </c>
      <c r="W21" s="76" t="s">
        <v>174</v>
      </c>
      <c r="X21" s="84">
        <v>0</v>
      </c>
      <c r="Y21" s="79">
        <v>0</v>
      </c>
      <c r="Z21" s="80">
        <v>0</v>
      </c>
      <c r="AA21" s="85" t="s">
        <v>175</v>
      </c>
      <c r="AB21" s="82">
        <v>1</v>
      </c>
      <c r="AC21" s="76" t="s">
        <v>175</v>
      </c>
      <c r="AD21" s="80">
        <v>0.25</v>
      </c>
      <c r="AE21" s="23" t="s">
        <v>174</v>
      </c>
      <c r="AF21" s="80">
        <v>0</v>
      </c>
      <c r="AG21" s="128">
        <f t="shared" si="2"/>
        <v>7</v>
      </c>
      <c r="AH21" s="87">
        <f t="shared" si="3"/>
        <v>51.851851851851848</v>
      </c>
      <c r="AI21" s="90"/>
      <c r="AJ21" s="20" t="s">
        <v>272</v>
      </c>
    </row>
    <row r="22" spans="1:36" ht="14" x14ac:dyDescent="0.3">
      <c r="A22" s="20" t="s">
        <v>21</v>
      </c>
      <c r="B22" s="197">
        <v>2690</v>
      </c>
      <c r="C22" s="197">
        <v>3</v>
      </c>
      <c r="D22" s="76" t="s">
        <v>174</v>
      </c>
      <c r="E22" s="77">
        <v>0</v>
      </c>
      <c r="F22" s="83">
        <f t="shared" si="0"/>
        <v>0</v>
      </c>
      <c r="G22" s="79">
        <v>0</v>
      </c>
      <c r="H22" s="80">
        <v>0</v>
      </c>
      <c r="I22" s="76" t="s">
        <v>174</v>
      </c>
      <c r="J22" s="77">
        <v>0</v>
      </c>
      <c r="K22" s="79">
        <v>0</v>
      </c>
      <c r="L22" s="80">
        <v>0</v>
      </c>
      <c r="M22" s="85" t="s">
        <v>174</v>
      </c>
      <c r="N22" s="82">
        <v>0</v>
      </c>
      <c r="O22" s="76" t="s">
        <v>106</v>
      </c>
      <c r="P22" s="79">
        <v>0.67</v>
      </c>
      <c r="Q22" s="80">
        <v>0</v>
      </c>
      <c r="R22" s="85" t="s">
        <v>174</v>
      </c>
      <c r="S22" s="198">
        <v>0</v>
      </c>
      <c r="T22" s="199">
        <f t="shared" si="1"/>
        <v>0</v>
      </c>
      <c r="U22" s="81">
        <v>0</v>
      </c>
      <c r="V22" s="82">
        <v>0</v>
      </c>
      <c r="W22" s="76" t="s">
        <v>174</v>
      </c>
      <c r="X22" s="84">
        <v>0</v>
      </c>
      <c r="Y22" s="79">
        <v>0</v>
      </c>
      <c r="Z22" s="80">
        <v>0</v>
      </c>
      <c r="AA22" s="85" t="s">
        <v>174</v>
      </c>
      <c r="AB22" s="82">
        <v>0</v>
      </c>
      <c r="AC22" s="76" t="s">
        <v>174</v>
      </c>
      <c r="AD22" s="80">
        <v>0</v>
      </c>
      <c r="AE22" s="23" t="s">
        <v>174</v>
      </c>
      <c r="AF22" s="80">
        <v>0</v>
      </c>
      <c r="AG22" s="128">
        <f t="shared" si="2"/>
        <v>0.67</v>
      </c>
      <c r="AH22" s="87">
        <f t="shared" si="3"/>
        <v>4.9629629629629637</v>
      </c>
      <c r="AI22" s="88"/>
      <c r="AJ22" s="20"/>
    </row>
    <row r="23" spans="1:36" ht="14" x14ac:dyDescent="0.3">
      <c r="A23" s="20" t="s">
        <v>22</v>
      </c>
      <c r="B23" s="197">
        <v>2300</v>
      </c>
      <c r="C23" s="197">
        <v>3</v>
      </c>
      <c r="D23" s="76" t="s">
        <v>174</v>
      </c>
      <c r="E23" s="77">
        <v>0</v>
      </c>
      <c r="F23" s="83">
        <f t="shared" si="0"/>
        <v>0</v>
      </c>
      <c r="G23" s="79">
        <v>0</v>
      </c>
      <c r="H23" s="80">
        <v>0</v>
      </c>
      <c r="I23" s="76" t="s">
        <v>174</v>
      </c>
      <c r="J23" s="77">
        <v>0</v>
      </c>
      <c r="K23" s="79">
        <v>0</v>
      </c>
      <c r="L23" s="80">
        <v>0</v>
      </c>
      <c r="M23" s="85" t="s">
        <v>174</v>
      </c>
      <c r="N23" s="82">
        <v>0</v>
      </c>
      <c r="O23" s="76" t="s">
        <v>210</v>
      </c>
      <c r="P23" s="79">
        <v>0.33</v>
      </c>
      <c r="Q23" s="80">
        <v>0</v>
      </c>
      <c r="R23" s="85" t="s">
        <v>174</v>
      </c>
      <c r="S23" s="198">
        <v>0</v>
      </c>
      <c r="T23" s="199">
        <f t="shared" si="1"/>
        <v>0</v>
      </c>
      <c r="U23" s="81">
        <v>0</v>
      </c>
      <c r="V23" s="82">
        <v>0</v>
      </c>
      <c r="W23" s="76" t="s">
        <v>174</v>
      </c>
      <c r="X23" s="84">
        <v>0</v>
      </c>
      <c r="Y23" s="79">
        <v>0</v>
      </c>
      <c r="Z23" s="80">
        <v>0</v>
      </c>
      <c r="AA23" s="85" t="s">
        <v>174</v>
      </c>
      <c r="AB23" s="82">
        <v>0</v>
      </c>
      <c r="AC23" s="76" t="s">
        <v>174</v>
      </c>
      <c r="AD23" s="80">
        <v>0</v>
      </c>
      <c r="AE23" s="23" t="s">
        <v>174</v>
      </c>
      <c r="AF23" s="80">
        <v>0</v>
      </c>
      <c r="AG23" s="128">
        <f t="shared" si="2"/>
        <v>0.33</v>
      </c>
      <c r="AH23" s="87">
        <f t="shared" si="3"/>
        <v>2.4444444444444446</v>
      </c>
      <c r="AI23" s="88"/>
      <c r="AJ23" s="20"/>
    </row>
    <row r="24" spans="1:36" ht="14" x14ac:dyDescent="0.3">
      <c r="A24" s="20" t="s">
        <v>23</v>
      </c>
      <c r="B24" s="197">
        <v>14660</v>
      </c>
      <c r="C24" s="197">
        <v>19</v>
      </c>
      <c r="D24" s="76" t="s">
        <v>175</v>
      </c>
      <c r="E24" s="77">
        <v>6</v>
      </c>
      <c r="F24" s="83">
        <f t="shared" si="0"/>
        <v>31.578947368421051</v>
      </c>
      <c r="G24" s="79">
        <v>1</v>
      </c>
      <c r="H24" s="80">
        <v>0.3</v>
      </c>
      <c r="I24" s="76" t="s">
        <v>175</v>
      </c>
      <c r="J24" s="77">
        <v>1</v>
      </c>
      <c r="K24" s="79">
        <v>1</v>
      </c>
      <c r="L24" s="80">
        <v>0.1</v>
      </c>
      <c r="M24" s="85" t="s">
        <v>174</v>
      </c>
      <c r="N24" s="82">
        <v>0</v>
      </c>
      <c r="O24" s="76" t="s">
        <v>106</v>
      </c>
      <c r="P24" s="79">
        <v>0.67</v>
      </c>
      <c r="Q24" s="80">
        <v>0</v>
      </c>
      <c r="R24" s="85" t="s">
        <v>175</v>
      </c>
      <c r="S24" s="198">
        <v>8</v>
      </c>
      <c r="T24" s="199">
        <f t="shared" si="1"/>
        <v>42.105263157894733</v>
      </c>
      <c r="U24" s="81">
        <v>2</v>
      </c>
      <c r="V24" s="82">
        <v>0.4</v>
      </c>
      <c r="W24" s="76" t="s">
        <v>175</v>
      </c>
      <c r="X24" s="84">
        <v>2</v>
      </c>
      <c r="Y24" s="79">
        <v>1</v>
      </c>
      <c r="Z24" s="80">
        <v>0.2</v>
      </c>
      <c r="AA24" s="85" t="s">
        <v>174</v>
      </c>
      <c r="AB24" s="82">
        <v>0</v>
      </c>
      <c r="AC24" s="76" t="s">
        <v>175</v>
      </c>
      <c r="AD24" s="80">
        <v>0.5</v>
      </c>
      <c r="AE24" s="23" t="s">
        <v>175</v>
      </c>
      <c r="AF24" s="80">
        <v>2</v>
      </c>
      <c r="AG24" s="128">
        <f t="shared" si="2"/>
        <v>9.1700000000000017</v>
      </c>
      <c r="AH24" s="87">
        <f t="shared" si="3"/>
        <v>67.925925925925938</v>
      </c>
      <c r="AI24" s="204"/>
      <c r="AJ24" s="20"/>
    </row>
    <row r="25" spans="1:36" ht="14" x14ac:dyDescent="0.3">
      <c r="A25" s="20" t="s">
        <v>24</v>
      </c>
      <c r="B25" s="197">
        <v>3890</v>
      </c>
      <c r="C25" s="197">
        <v>5</v>
      </c>
      <c r="D25" s="76" t="s">
        <v>174</v>
      </c>
      <c r="E25" s="77">
        <v>0</v>
      </c>
      <c r="F25" s="83">
        <f t="shared" si="0"/>
        <v>0</v>
      </c>
      <c r="G25" s="79">
        <v>0</v>
      </c>
      <c r="H25" s="80">
        <v>0</v>
      </c>
      <c r="I25" s="76" t="s">
        <v>174</v>
      </c>
      <c r="J25" s="77">
        <v>0</v>
      </c>
      <c r="K25" s="79">
        <v>0</v>
      </c>
      <c r="L25" s="80">
        <v>0</v>
      </c>
      <c r="M25" s="85" t="s">
        <v>174</v>
      </c>
      <c r="N25" s="82">
        <v>0</v>
      </c>
      <c r="O25" s="76" t="s">
        <v>106</v>
      </c>
      <c r="P25" s="79">
        <v>0.67</v>
      </c>
      <c r="Q25" s="80">
        <v>0</v>
      </c>
      <c r="R25" s="85" t="s">
        <v>175</v>
      </c>
      <c r="S25" s="198">
        <v>4</v>
      </c>
      <c r="T25" s="199">
        <f t="shared" si="1"/>
        <v>80</v>
      </c>
      <c r="U25" s="81">
        <v>2</v>
      </c>
      <c r="V25" s="82">
        <v>0.8</v>
      </c>
      <c r="W25" s="76" t="s">
        <v>174</v>
      </c>
      <c r="X25" s="84">
        <v>0</v>
      </c>
      <c r="Y25" s="79">
        <v>0</v>
      </c>
      <c r="Z25" s="80">
        <v>0</v>
      </c>
      <c r="AA25" s="85" t="s">
        <v>174</v>
      </c>
      <c r="AB25" s="82">
        <v>0</v>
      </c>
      <c r="AC25" s="76" t="s">
        <v>175</v>
      </c>
      <c r="AD25" s="80">
        <v>0.25</v>
      </c>
      <c r="AE25" s="23" t="s">
        <v>174</v>
      </c>
      <c r="AF25" s="80">
        <v>0</v>
      </c>
      <c r="AG25" s="128">
        <f t="shared" si="2"/>
        <v>3.7199999999999998</v>
      </c>
      <c r="AH25" s="87">
        <f t="shared" si="3"/>
        <v>27.555555555555557</v>
      </c>
      <c r="AI25" s="88"/>
      <c r="AJ25" s="20" t="s">
        <v>274</v>
      </c>
    </row>
    <row r="26" spans="1:36" ht="14" x14ac:dyDescent="0.3">
      <c r="A26" s="20" t="s">
        <v>25</v>
      </c>
      <c r="B26" s="197">
        <v>4700</v>
      </c>
      <c r="C26" s="197">
        <v>9</v>
      </c>
      <c r="D26" s="76" t="s">
        <v>174</v>
      </c>
      <c r="E26" s="77">
        <v>0</v>
      </c>
      <c r="F26" s="83">
        <f t="shared" si="0"/>
        <v>0</v>
      </c>
      <c r="G26" s="79">
        <v>0</v>
      </c>
      <c r="H26" s="80">
        <v>0</v>
      </c>
      <c r="I26" s="76" t="s">
        <v>174</v>
      </c>
      <c r="J26" s="77">
        <v>0</v>
      </c>
      <c r="K26" s="79">
        <v>0</v>
      </c>
      <c r="L26" s="80">
        <v>0</v>
      </c>
      <c r="M26" s="85" t="s">
        <v>174</v>
      </c>
      <c r="N26" s="82">
        <v>0</v>
      </c>
      <c r="O26" s="76" t="s">
        <v>106</v>
      </c>
      <c r="P26" s="79">
        <v>0.67</v>
      </c>
      <c r="Q26" s="80">
        <v>0</v>
      </c>
      <c r="R26" s="85" t="s">
        <v>175</v>
      </c>
      <c r="S26" s="198">
        <v>1</v>
      </c>
      <c r="T26" s="199">
        <f t="shared" si="1"/>
        <v>11.111111111111111</v>
      </c>
      <c r="U26" s="81">
        <v>2</v>
      </c>
      <c r="V26" s="82">
        <v>0.1</v>
      </c>
      <c r="W26" s="76" t="s">
        <v>174</v>
      </c>
      <c r="X26" s="84">
        <v>0</v>
      </c>
      <c r="Y26" s="79">
        <v>0</v>
      </c>
      <c r="Z26" s="80">
        <v>0</v>
      </c>
      <c r="AA26" s="85" t="s">
        <v>174</v>
      </c>
      <c r="AB26" s="82">
        <v>0</v>
      </c>
      <c r="AC26" s="76" t="s">
        <v>174</v>
      </c>
      <c r="AD26" s="80">
        <v>0</v>
      </c>
      <c r="AE26" s="23" t="s">
        <v>175</v>
      </c>
      <c r="AF26" s="80">
        <v>1.25</v>
      </c>
      <c r="AG26" s="128">
        <f t="shared" si="2"/>
        <v>4.0199999999999996</v>
      </c>
      <c r="AH26" s="87">
        <f t="shared" si="3"/>
        <v>29.777777777777775</v>
      </c>
      <c r="AI26" s="90"/>
      <c r="AJ26" s="20"/>
    </row>
    <row r="27" spans="1:36" ht="14" x14ac:dyDescent="0.3">
      <c r="A27" s="20" t="s">
        <v>26</v>
      </c>
      <c r="B27" s="197">
        <v>3140</v>
      </c>
      <c r="C27" s="197">
        <v>4</v>
      </c>
      <c r="D27" s="76" t="s">
        <v>174</v>
      </c>
      <c r="E27" s="77">
        <v>0</v>
      </c>
      <c r="F27" s="83">
        <f t="shared" si="0"/>
        <v>0</v>
      </c>
      <c r="G27" s="79">
        <v>0</v>
      </c>
      <c r="H27" s="80">
        <v>0</v>
      </c>
      <c r="I27" s="76" t="s">
        <v>174</v>
      </c>
      <c r="J27" s="77">
        <v>0</v>
      </c>
      <c r="K27" s="79">
        <v>0</v>
      </c>
      <c r="L27" s="80">
        <v>0</v>
      </c>
      <c r="M27" s="85" t="s">
        <v>174</v>
      </c>
      <c r="N27" s="82">
        <v>0</v>
      </c>
      <c r="O27" s="76" t="s">
        <v>210</v>
      </c>
      <c r="P27" s="79">
        <v>0.33</v>
      </c>
      <c r="Q27" s="80">
        <v>0</v>
      </c>
      <c r="R27" s="85" t="s">
        <v>174</v>
      </c>
      <c r="S27" s="198">
        <v>0</v>
      </c>
      <c r="T27" s="199">
        <f t="shared" si="1"/>
        <v>0</v>
      </c>
      <c r="U27" s="81">
        <v>0</v>
      </c>
      <c r="V27" s="82">
        <v>0</v>
      </c>
      <c r="W27" s="76" t="s">
        <v>174</v>
      </c>
      <c r="X27" s="84">
        <v>0</v>
      </c>
      <c r="Y27" s="79">
        <v>0</v>
      </c>
      <c r="Z27" s="80">
        <v>0</v>
      </c>
      <c r="AA27" s="85" t="s">
        <v>174</v>
      </c>
      <c r="AB27" s="82">
        <v>0</v>
      </c>
      <c r="AC27" s="76" t="s">
        <v>174</v>
      </c>
      <c r="AD27" s="80">
        <v>0</v>
      </c>
      <c r="AE27" s="23" t="s">
        <v>175</v>
      </c>
      <c r="AF27" s="80">
        <v>2</v>
      </c>
      <c r="AG27" s="128">
        <f t="shared" si="2"/>
        <v>2.33</v>
      </c>
      <c r="AH27" s="87">
        <f t="shared" si="3"/>
        <v>17.25925925925926</v>
      </c>
      <c r="AI27" s="88"/>
      <c r="AJ27" s="20"/>
    </row>
    <row r="28" spans="1:36" ht="14" x14ac:dyDescent="0.3">
      <c r="A28" s="20" t="s">
        <v>27</v>
      </c>
      <c r="B28" s="197">
        <v>1030</v>
      </c>
      <c r="C28" s="197">
        <v>2</v>
      </c>
      <c r="D28" s="76" t="s">
        <v>174</v>
      </c>
      <c r="E28" s="77">
        <v>0</v>
      </c>
      <c r="F28" s="83">
        <f t="shared" si="0"/>
        <v>0</v>
      </c>
      <c r="G28" s="79">
        <v>0</v>
      </c>
      <c r="H28" s="80">
        <v>0</v>
      </c>
      <c r="I28" s="76" t="s">
        <v>174</v>
      </c>
      <c r="J28" s="77">
        <v>0</v>
      </c>
      <c r="K28" s="79">
        <v>0</v>
      </c>
      <c r="L28" s="80">
        <v>0</v>
      </c>
      <c r="M28" s="85" t="s">
        <v>174</v>
      </c>
      <c r="N28" s="82">
        <v>0</v>
      </c>
      <c r="O28" s="76" t="s">
        <v>71</v>
      </c>
      <c r="P28" s="79">
        <v>0.75</v>
      </c>
      <c r="Q28" s="80">
        <v>0</v>
      </c>
      <c r="R28" s="85" t="s">
        <v>174</v>
      </c>
      <c r="S28" s="198">
        <v>0</v>
      </c>
      <c r="T28" s="199">
        <f t="shared" si="1"/>
        <v>0</v>
      </c>
      <c r="U28" s="81">
        <v>0</v>
      </c>
      <c r="V28" s="82">
        <v>0</v>
      </c>
      <c r="W28" s="76" t="s">
        <v>174</v>
      </c>
      <c r="X28" s="84">
        <v>0</v>
      </c>
      <c r="Y28" s="79">
        <v>0</v>
      </c>
      <c r="Z28" s="80">
        <v>0</v>
      </c>
      <c r="AA28" s="85" t="s">
        <v>174</v>
      </c>
      <c r="AB28" s="82">
        <v>0</v>
      </c>
      <c r="AC28" s="76" t="s">
        <v>174</v>
      </c>
      <c r="AD28" s="80">
        <v>0</v>
      </c>
      <c r="AE28" s="23" t="s">
        <v>175</v>
      </c>
      <c r="AF28" s="80">
        <v>2</v>
      </c>
      <c r="AG28" s="128">
        <f t="shared" si="2"/>
        <v>2.75</v>
      </c>
      <c r="AH28" s="87">
        <f t="shared" si="3"/>
        <v>20.37037037037037</v>
      </c>
      <c r="AI28" s="88"/>
      <c r="AJ28" s="20"/>
    </row>
    <row r="29" spans="1:36" ht="14" x14ac:dyDescent="0.3">
      <c r="A29" s="20" t="s">
        <v>28</v>
      </c>
      <c r="B29" s="197">
        <v>3830</v>
      </c>
      <c r="C29" s="197">
        <v>5</v>
      </c>
      <c r="D29" s="76" t="s">
        <v>175</v>
      </c>
      <c r="E29" s="77">
        <v>2</v>
      </c>
      <c r="F29" s="83">
        <f t="shared" si="0"/>
        <v>40</v>
      </c>
      <c r="G29" s="79">
        <v>1</v>
      </c>
      <c r="H29" s="80">
        <v>0.4</v>
      </c>
      <c r="I29" s="76" t="s">
        <v>174</v>
      </c>
      <c r="J29" s="77">
        <v>0</v>
      </c>
      <c r="K29" s="79">
        <v>0</v>
      </c>
      <c r="L29" s="80">
        <v>0</v>
      </c>
      <c r="M29" s="85" t="s">
        <v>175</v>
      </c>
      <c r="N29" s="82">
        <v>1</v>
      </c>
      <c r="O29" s="76" t="s">
        <v>208</v>
      </c>
      <c r="P29" s="79">
        <v>1</v>
      </c>
      <c r="Q29" s="80">
        <v>0</v>
      </c>
      <c r="R29" s="85" t="s">
        <v>175</v>
      </c>
      <c r="S29" s="198">
        <v>4</v>
      </c>
      <c r="T29" s="199">
        <f t="shared" si="1"/>
        <v>80</v>
      </c>
      <c r="U29" s="81">
        <v>2</v>
      </c>
      <c r="V29" s="82">
        <v>0.8</v>
      </c>
      <c r="W29" s="76" t="s">
        <v>175</v>
      </c>
      <c r="X29" s="84">
        <v>2</v>
      </c>
      <c r="Y29" s="79">
        <v>1</v>
      </c>
      <c r="Z29" s="80">
        <v>0.1</v>
      </c>
      <c r="AA29" s="85" t="s">
        <v>175</v>
      </c>
      <c r="AB29" s="82">
        <v>1</v>
      </c>
      <c r="AC29" s="76" t="s">
        <v>175</v>
      </c>
      <c r="AD29" s="80">
        <v>0.25</v>
      </c>
      <c r="AE29" s="23" t="s">
        <v>175</v>
      </c>
      <c r="AF29" s="80">
        <v>1.25</v>
      </c>
      <c r="AG29" s="128">
        <f t="shared" si="2"/>
        <v>9.8000000000000007</v>
      </c>
      <c r="AH29" s="87">
        <f t="shared" si="3"/>
        <v>72.592592592592595</v>
      </c>
      <c r="AI29" s="204"/>
      <c r="AJ29" s="20" t="s">
        <v>275</v>
      </c>
    </row>
    <row r="30" spans="1:36" ht="14" x14ac:dyDescent="0.3">
      <c r="A30" s="20" t="s">
        <v>29</v>
      </c>
      <c r="B30" s="197">
        <v>530</v>
      </c>
      <c r="C30" s="197">
        <v>1</v>
      </c>
      <c r="D30" s="76" t="s">
        <v>174</v>
      </c>
      <c r="E30" s="77">
        <v>0</v>
      </c>
      <c r="F30" s="83">
        <f t="shared" si="0"/>
        <v>0</v>
      </c>
      <c r="G30" s="79">
        <v>0</v>
      </c>
      <c r="H30" s="80">
        <v>0</v>
      </c>
      <c r="I30" s="76" t="s">
        <v>174</v>
      </c>
      <c r="J30" s="77">
        <v>0</v>
      </c>
      <c r="K30" s="79">
        <v>0</v>
      </c>
      <c r="L30" s="80">
        <v>0</v>
      </c>
      <c r="M30" s="85" t="s">
        <v>174</v>
      </c>
      <c r="N30" s="82">
        <v>0</v>
      </c>
      <c r="O30" s="76" t="s">
        <v>107</v>
      </c>
      <c r="P30" s="79">
        <v>0.25</v>
      </c>
      <c r="Q30" s="80">
        <v>0.25</v>
      </c>
      <c r="R30" s="85" t="s">
        <v>175</v>
      </c>
      <c r="S30" s="198">
        <v>1</v>
      </c>
      <c r="T30" s="199">
        <f t="shared" si="1"/>
        <v>100</v>
      </c>
      <c r="U30" s="81">
        <v>2</v>
      </c>
      <c r="V30" s="82">
        <v>1</v>
      </c>
      <c r="W30" s="76" t="s">
        <v>174</v>
      </c>
      <c r="X30" s="84">
        <v>0</v>
      </c>
      <c r="Y30" s="79">
        <v>0</v>
      </c>
      <c r="Z30" s="80">
        <v>0</v>
      </c>
      <c r="AA30" s="85" t="s">
        <v>174</v>
      </c>
      <c r="AB30" s="82">
        <v>0</v>
      </c>
      <c r="AC30" s="76" t="s">
        <v>174</v>
      </c>
      <c r="AD30" s="80">
        <v>0</v>
      </c>
      <c r="AE30" s="23" t="s">
        <v>175</v>
      </c>
      <c r="AF30" s="80">
        <v>0.75</v>
      </c>
      <c r="AG30" s="128">
        <f t="shared" si="2"/>
        <v>4.25</v>
      </c>
      <c r="AH30" s="87">
        <f t="shared" si="3"/>
        <v>31.481481481481481</v>
      </c>
      <c r="AI30" s="90"/>
      <c r="AJ30" s="20"/>
    </row>
    <row r="31" spans="1:36" ht="14" x14ac:dyDescent="0.3">
      <c r="A31" s="20" t="s">
        <v>30</v>
      </c>
      <c r="B31" s="197">
        <v>2800</v>
      </c>
      <c r="C31" s="197">
        <v>4</v>
      </c>
      <c r="D31" s="76" t="s">
        <v>175</v>
      </c>
      <c r="E31" s="77">
        <v>1</v>
      </c>
      <c r="F31" s="83">
        <f t="shared" si="0"/>
        <v>25</v>
      </c>
      <c r="G31" s="79">
        <v>1</v>
      </c>
      <c r="H31" s="80">
        <v>0.2</v>
      </c>
      <c r="I31" s="76" t="s">
        <v>174</v>
      </c>
      <c r="J31" s="77">
        <v>0</v>
      </c>
      <c r="K31" s="79">
        <v>0</v>
      </c>
      <c r="L31" s="80">
        <v>0</v>
      </c>
      <c r="M31" s="85" t="s">
        <v>174</v>
      </c>
      <c r="N31" s="82">
        <v>0</v>
      </c>
      <c r="O31" s="76" t="s">
        <v>71</v>
      </c>
      <c r="P31" s="79">
        <v>0.75</v>
      </c>
      <c r="Q31" s="80">
        <v>0</v>
      </c>
      <c r="R31" s="85" t="s">
        <v>175</v>
      </c>
      <c r="S31" s="198">
        <v>1</v>
      </c>
      <c r="T31" s="199">
        <f t="shared" si="1"/>
        <v>25</v>
      </c>
      <c r="U31" s="81">
        <v>2</v>
      </c>
      <c r="V31" s="82">
        <v>0.2</v>
      </c>
      <c r="W31" s="76" t="s">
        <v>174</v>
      </c>
      <c r="X31" s="84">
        <v>0</v>
      </c>
      <c r="Y31" s="79">
        <v>0</v>
      </c>
      <c r="Z31" s="80">
        <v>0</v>
      </c>
      <c r="AA31" s="85" t="s">
        <v>174</v>
      </c>
      <c r="AB31" s="82">
        <v>0</v>
      </c>
      <c r="AC31" s="76" t="s">
        <v>174</v>
      </c>
      <c r="AD31" s="80">
        <v>0</v>
      </c>
      <c r="AE31" s="23" t="s">
        <v>175</v>
      </c>
      <c r="AF31" s="80">
        <v>0.75</v>
      </c>
      <c r="AG31" s="128">
        <f t="shared" si="2"/>
        <v>4.9000000000000004</v>
      </c>
      <c r="AH31" s="87">
        <f t="shared" si="3"/>
        <v>36.296296296296298</v>
      </c>
      <c r="AI31" s="90"/>
      <c r="AJ31" s="20"/>
    </row>
    <row r="32" spans="1:36" ht="14" x14ac:dyDescent="0.3">
      <c r="A32" s="20" t="s">
        <v>31</v>
      </c>
      <c r="B32" s="197">
        <v>620</v>
      </c>
      <c r="C32" s="197">
        <v>1</v>
      </c>
      <c r="D32" s="76" t="s">
        <v>174</v>
      </c>
      <c r="E32" s="77">
        <v>0</v>
      </c>
      <c r="F32" s="83">
        <f t="shared" si="0"/>
        <v>0</v>
      </c>
      <c r="G32" s="79">
        <v>0</v>
      </c>
      <c r="H32" s="80">
        <v>0</v>
      </c>
      <c r="I32" s="76" t="s">
        <v>174</v>
      </c>
      <c r="J32" s="77">
        <v>0</v>
      </c>
      <c r="K32" s="79">
        <v>0</v>
      </c>
      <c r="L32" s="80">
        <v>0</v>
      </c>
      <c r="M32" s="85" t="s">
        <v>174</v>
      </c>
      <c r="N32" s="82">
        <v>0</v>
      </c>
      <c r="O32" s="76" t="s">
        <v>71</v>
      </c>
      <c r="P32" s="79">
        <v>0.75</v>
      </c>
      <c r="Q32" s="80">
        <v>0</v>
      </c>
      <c r="R32" s="85" t="s">
        <v>175</v>
      </c>
      <c r="S32" s="198">
        <v>1</v>
      </c>
      <c r="T32" s="199">
        <f t="shared" si="1"/>
        <v>100</v>
      </c>
      <c r="U32" s="81">
        <v>2</v>
      </c>
      <c r="V32" s="82">
        <v>1</v>
      </c>
      <c r="W32" s="76" t="s">
        <v>174</v>
      </c>
      <c r="X32" s="84">
        <v>0</v>
      </c>
      <c r="Y32" s="79">
        <v>0</v>
      </c>
      <c r="Z32" s="80">
        <v>0</v>
      </c>
      <c r="AA32" s="85" t="s">
        <v>174</v>
      </c>
      <c r="AB32" s="82">
        <v>0</v>
      </c>
      <c r="AC32" s="76" t="s">
        <v>174</v>
      </c>
      <c r="AD32" s="80">
        <v>0</v>
      </c>
      <c r="AE32" s="23" t="s">
        <v>175</v>
      </c>
      <c r="AF32" s="80">
        <v>1.5</v>
      </c>
      <c r="AG32" s="128">
        <f t="shared" si="2"/>
        <v>5.25</v>
      </c>
      <c r="AH32" s="87">
        <f t="shared" si="3"/>
        <v>38.888888888888893</v>
      </c>
      <c r="AI32" s="90"/>
      <c r="AJ32" s="20"/>
    </row>
    <row r="33" spans="1:36" ht="14" x14ac:dyDescent="0.3">
      <c r="A33" s="20" t="s">
        <v>125</v>
      </c>
      <c r="B33" s="202" t="s">
        <v>50</v>
      </c>
      <c r="C33" s="197">
        <v>1</v>
      </c>
      <c r="D33" s="76" t="s">
        <v>174</v>
      </c>
      <c r="E33" s="77">
        <v>0</v>
      </c>
      <c r="F33" s="83">
        <f t="shared" si="0"/>
        <v>0</v>
      </c>
      <c r="G33" s="79">
        <v>0</v>
      </c>
      <c r="H33" s="80">
        <v>0</v>
      </c>
      <c r="I33" s="76" t="s">
        <v>174</v>
      </c>
      <c r="J33" s="77">
        <v>0</v>
      </c>
      <c r="K33" s="79">
        <v>0</v>
      </c>
      <c r="L33" s="80">
        <v>0</v>
      </c>
      <c r="M33" s="85" t="s">
        <v>174</v>
      </c>
      <c r="N33" s="82">
        <v>0</v>
      </c>
      <c r="O33" s="76" t="s">
        <v>71</v>
      </c>
      <c r="P33" s="79">
        <v>0.75</v>
      </c>
      <c r="Q33" s="80">
        <v>0</v>
      </c>
      <c r="R33" s="85" t="s">
        <v>175</v>
      </c>
      <c r="S33" s="198">
        <v>1</v>
      </c>
      <c r="T33" s="199">
        <f t="shared" si="1"/>
        <v>100</v>
      </c>
      <c r="U33" s="81">
        <v>2</v>
      </c>
      <c r="V33" s="82">
        <v>1</v>
      </c>
      <c r="W33" s="76" t="s">
        <v>174</v>
      </c>
      <c r="X33" s="84">
        <v>0</v>
      </c>
      <c r="Y33" s="79">
        <v>0</v>
      </c>
      <c r="Z33" s="80">
        <v>0</v>
      </c>
      <c r="AA33" s="85" t="s">
        <v>174</v>
      </c>
      <c r="AB33" s="82">
        <v>0</v>
      </c>
      <c r="AC33" s="76" t="s">
        <v>174</v>
      </c>
      <c r="AD33" s="80">
        <v>0</v>
      </c>
      <c r="AE33" s="23" t="s">
        <v>175</v>
      </c>
      <c r="AF33" s="80">
        <v>2</v>
      </c>
      <c r="AG33" s="128">
        <f t="shared" si="2"/>
        <v>5.75</v>
      </c>
      <c r="AH33" s="87">
        <f t="shared" si="3"/>
        <v>42.592592592592595</v>
      </c>
      <c r="AI33" s="90"/>
      <c r="AJ33" s="20"/>
    </row>
    <row r="34" spans="1:36" ht="14" x14ac:dyDescent="0.3">
      <c r="A34" s="20" t="s">
        <v>32</v>
      </c>
      <c r="B34" s="197">
        <v>1100</v>
      </c>
      <c r="C34" s="197">
        <v>1</v>
      </c>
      <c r="D34" s="76" t="s">
        <v>174</v>
      </c>
      <c r="E34" s="77">
        <v>0</v>
      </c>
      <c r="F34" s="83">
        <f t="shared" si="0"/>
        <v>0</v>
      </c>
      <c r="G34" s="79">
        <v>0</v>
      </c>
      <c r="H34" s="80">
        <v>0</v>
      </c>
      <c r="I34" s="76" t="s">
        <v>174</v>
      </c>
      <c r="J34" s="77">
        <v>0</v>
      </c>
      <c r="K34" s="79">
        <v>0</v>
      </c>
      <c r="L34" s="80">
        <v>0</v>
      </c>
      <c r="M34" s="85" t="s">
        <v>174</v>
      </c>
      <c r="N34" s="82">
        <v>0</v>
      </c>
      <c r="O34" s="76" t="s">
        <v>71</v>
      </c>
      <c r="P34" s="79">
        <v>0.75</v>
      </c>
      <c r="Q34" s="80">
        <v>0</v>
      </c>
      <c r="R34" s="85" t="s">
        <v>175</v>
      </c>
      <c r="S34" s="198">
        <v>1</v>
      </c>
      <c r="T34" s="199">
        <f t="shared" si="1"/>
        <v>100</v>
      </c>
      <c r="U34" s="81">
        <v>2</v>
      </c>
      <c r="V34" s="82">
        <v>1</v>
      </c>
      <c r="W34" s="76" t="s">
        <v>174</v>
      </c>
      <c r="X34" s="84">
        <v>0</v>
      </c>
      <c r="Y34" s="79">
        <v>0</v>
      </c>
      <c r="Z34" s="80">
        <v>0</v>
      </c>
      <c r="AA34" s="85" t="s">
        <v>174</v>
      </c>
      <c r="AB34" s="82">
        <v>0</v>
      </c>
      <c r="AC34" s="76" t="s">
        <v>174</v>
      </c>
      <c r="AD34" s="80">
        <v>0</v>
      </c>
      <c r="AE34" s="23" t="s">
        <v>174</v>
      </c>
      <c r="AF34" s="80">
        <v>0</v>
      </c>
      <c r="AG34" s="128">
        <f t="shared" si="2"/>
        <v>3.75</v>
      </c>
      <c r="AH34" s="87">
        <f t="shared" si="3"/>
        <v>27.777777777777779</v>
      </c>
      <c r="AI34" s="88"/>
      <c r="AJ34" s="20" t="s">
        <v>274</v>
      </c>
    </row>
    <row r="35" spans="1:36" ht="14" x14ac:dyDescent="0.3">
      <c r="A35" s="20" t="s">
        <v>33</v>
      </c>
      <c r="B35" s="197">
        <v>2530</v>
      </c>
      <c r="C35" s="197">
        <v>4</v>
      </c>
      <c r="D35" s="76" t="s">
        <v>174</v>
      </c>
      <c r="E35" s="77">
        <v>0</v>
      </c>
      <c r="F35" s="83">
        <f t="shared" si="0"/>
        <v>0</v>
      </c>
      <c r="G35" s="79">
        <v>0</v>
      </c>
      <c r="H35" s="80">
        <v>0</v>
      </c>
      <c r="I35" s="76" t="s">
        <v>174</v>
      </c>
      <c r="J35" s="77">
        <v>0</v>
      </c>
      <c r="K35" s="79">
        <v>0</v>
      </c>
      <c r="L35" s="80">
        <v>0</v>
      </c>
      <c r="M35" s="85" t="s">
        <v>174</v>
      </c>
      <c r="N35" s="82">
        <v>0</v>
      </c>
      <c r="O35" s="76" t="s">
        <v>106</v>
      </c>
      <c r="P35" s="79">
        <v>0.67</v>
      </c>
      <c r="Q35" s="80">
        <v>0</v>
      </c>
      <c r="R35" s="85" t="s">
        <v>174</v>
      </c>
      <c r="S35" s="198">
        <v>0</v>
      </c>
      <c r="T35" s="199">
        <f t="shared" si="1"/>
        <v>0</v>
      </c>
      <c r="U35" s="81">
        <v>0</v>
      </c>
      <c r="V35" s="82">
        <v>0</v>
      </c>
      <c r="W35" s="76" t="s">
        <v>174</v>
      </c>
      <c r="X35" s="84">
        <v>0</v>
      </c>
      <c r="Y35" s="79">
        <v>0</v>
      </c>
      <c r="Z35" s="80">
        <v>0</v>
      </c>
      <c r="AA35" s="85" t="s">
        <v>174</v>
      </c>
      <c r="AB35" s="82">
        <v>0</v>
      </c>
      <c r="AC35" s="76" t="s">
        <v>174</v>
      </c>
      <c r="AD35" s="80">
        <v>0</v>
      </c>
      <c r="AE35" s="23" t="s">
        <v>175</v>
      </c>
      <c r="AF35" s="80">
        <v>0.75</v>
      </c>
      <c r="AG35" s="128">
        <f t="shared" si="2"/>
        <v>1.42</v>
      </c>
      <c r="AH35" s="87">
        <f t="shared" si="3"/>
        <v>10.518518518518517</v>
      </c>
      <c r="AI35" s="205"/>
      <c r="AJ35" s="20"/>
    </row>
    <row r="36" spans="1:36" ht="14" x14ac:dyDescent="0.3">
      <c r="A36" s="20" t="s">
        <v>34</v>
      </c>
      <c r="B36" s="197">
        <v>3010</v>
      </c>
      <c r="C36" s="197">
        <v>4</v>
      </c>
      <c r="D36" s="76" t="s">
        <v>174</v>
      </c>
      <c r="E36" s="77">
        <v>0</v>
      </c>
      <c r="F36" s="83">
        <f t="shared" si="0"/>
        <v>0</v>
      </c>
      <c r="G36" s="79">
        <v>0</v>
      </c>
      <c r="H36" s="80">
        <v>0</v>
      </c>
      <c r="I36" s="76" t="s">
        <v>174</v>
      </c>
      <c r="J36" s="77">
        <v>0</v>
      </c>
      <c r="K36" s="79">
        <v>0</v>
      </c>
      <c r="L36" s="80">
        <v>0</v>
      </c>
      <c r="M36" s="85" t="s">
        <v>174</v>
      </c>
      <c r="N36" s="82">
        <v>0</v>
      </c>
      <c r="O36" s="76" t="s">
        <v>210</v>
      </c>
      <c r="P36" s="79">
        <v>0.33</v>
      </c>
      <c r="Q36" s="80">
        <v>0</v>
      </c>
      <c r="R36" s="85" t="s">
        <v>174</v>
      </c>
      <c r="S36" s="198">
        <v>0</v>
      </c>
      <c r="T36" s="199">
        <f t="shared" si="1"/>
        <v>0</v>
      </c>
      <c r="U36" s="81">
        <v>0</v>
      </c>
      <c r="V36" s="82">
        <v>0</v>
      </c>
      <c r="W36" s="76" t="s">
        <v>174</v>
      </c>
      <c r="X36" s="84">
        <v>0</v>
      </c>
      <c r="Y36" s="79">
        <v>0</v>
      </c>
      <c r="Z36" s="80">
        <v>0</v>
      </c>
      <c r="AA36" s="85" t="s">
        <v>174</v>
      </c>
      <c r="AB36" s="82">
        <v>0</v>
      </c>
      <c r="AC36" s="76" t="s">
        <v>174</v>
      </c>
      <c r="AD36" s="80">
        <v>0</v>
      </c>
      <c r="AE36" s="23" t="s">
        <v>175</v>
      </c>
      <c r="AF36" s="80">
        <v>1</v>
      </c>
      <c r="AG36" s="128">
        <f t="shared" si="2"/>
        <v>1.33</v>
      </c>
      <c r="AH36" s="87">
        <f t="shared" si="3"/>
        <v>9.8518518518518512</v>
      </c>
      <c r="AI36" s="205"/>
      <c r="AJ36" s="20"/>
    </row>
    <row r="37" spans="1:36" ht="14" x14ac:dyDescent="0.3">
      <c r="A37" s="20" t="s">
        <v>35</v>
      </c>
      <c r="B37" s="197">
        <v>3120</v>
      </c>
      <c r="C37" s="197">
        <v>3</v>
      </c>
      <c r="D37" s="76" t="s">
        <v>174</v>
      </c>
      <c r="E37" s="77">
        <v>0</v>
      </c>
      <c r="F37" s="83">
        <f t="shared" si="0"/>
        <v>0</v>
      </c>
      <c r="G37" s="79">
        <v>0</v>
      </c>
      <c r="H37" s="80">
        <v>0</v>
      </c>
      <c r="I37" s="76" t="s">
        <v>174</v>
      </c>
      <c r="J37" s="77">
        <v>0</v>
      </c>
      <c r="K37" s="79">
        <v>0</v>
      </c>
      <c r="L37" s="80">
        <v>0</v>
      </c>
      <c r="M37" s="85" t="s">
        <v>174</v>
      </c>
      <c r="N37" s="82">
        <v>0</v>
      </c>
      <c r="O37" s="76" t="s">
        <v>107</v>
      </c>
      <c r="P37" s="79">
        <v>0.25</v>
      </c>
      <c r="Q37" s="80">
        <v>0.25</v>
      </c>
      <c r="R37" s="85" t="s">
        <v>174</v>
      </c>
      <c r="S37" s="198">
        <v>0</v>
      </c>
      <c r="T37" s="199">
        <f t="shared" si="1"/>
        <v>0</v>
      </c>
      <c r="U37" s="81">
        <v>0</v>
      </c>
      <c r="V37" s="82">
        <v>0</v>
      </c>
      <c r="W37" s="76" t="s">
        <v>174</v>
      </c>
      <c r="X37" s="84">
        <v>0</v>
      </c>
      <c r="Y37" s="79">
        <v>0</v>
      </c>
      <c r="Z37" s="80">
        <v>0</v>
      </c>
      <c r="AA37" s="85" t="s">
        <v>174</v>
      </c>
      <c r="AB37" s="82">
        <v>0</v>
      </c>
      <c r="AC37" s="76" t="s">
        <v>174</v>
      </c>
      <c r="AD37" s="80">
        <v>0</v>
      </c>
      <c r="AE37" s="23" t="s">
        <v>175</v>
      </c>
      <c r="AF37" s="80">
        <v>1.25</v>
      </c>
      <c r="AG37" s="128">
        <f t="shared" si="2"/>
        <v>1.75</v>
      </c>
      <c r="AH37" s="87">
        <f t="shared" si="3"/>
        <v>12.962962962962962</v>
      </c>
      <c r="AI37" s="205"/>
      <c r="AJ37" s="20"/>
    </row>
    <row r="38" spans="1:36" ht="14" x14ac:dyDescent="0.3">
      <c r="A38" s="20" t="s">
        <v>36</v>
      </c>
      <c r="B38" s="197">
        <v>19060</v>
      </c>
      <c r="C38" s="197">
        <v>25</v>
      </c>
      <c r="D38" s="76" t="s">
        <v>175</v>
      </c>
      <c r="E38" s="77">
        <v>10</v>
      </c>
      <c r="F38" s="83">
        <f t="shared" si="0"/>
        <v>40</v>
      </c>
      <c r="G38" s="79">
        <v>1</v>
      </c>
      <c r="H38" s="80">
        <v>0.4</v>
      </c>
      <c r="I38" s="76" t="s">
        <v>175</v>
      </c>
      <c r="J38" s="77">
        <v>3</v>
      </c>
      <c r="K38" s="79">
        <v>1</v>
      </c>
      <c r="L38" s="80">
        <v>0.3</v>
      </c>
      <c r="M38" s="85" t="s">
        <v>175</v>
      </c>
      <c r="N38" s="82">
        <v>1</v>
      </c>
      <c r="O38" s="76" t="s">
        <v>71</v>
      </c>
      <c r="P38" s="79">
        <v>0.75</v>
      </c>
      <c r="Q38" s="80">
        <v>0</v>
      </c>
      <c r="R38" s="85" t="s">
        <v>175</v>
      </c>
      <c r="S38" s="198">
        <v>10</v>
      </c>
      <c r="T38" s="199">
        <f t="shared" si="1"/>
        <v>40</v>
      </c>
      <c r="U38" s="81">
        <v>2</v>
      </c>
      <c r="V38" s="82">
        <v>0.4</v>
      </c>
      <c r="W38" s="76" t="s">
        <v>175</v>
      </c>
      <c r="X38" s="84">
        <v>2</v>
      </c>
      <c r="Y38" s="79">
        <v>1</v>
      </c>
      <c r="Z38" s="80">
        <v>0.2</v>
      </c>
      <c r="AA38" s="85" t="s">
        <v>175</v>
      </c>
      <c r="AB38" s="82">
        <v>1</v>
      </c>
      <c r="AC38" s="76" t="s">
        <v>175</v>
      </c>
      <c r="AD38" s="80">
        <v>0.5</v>
      </c>
      <c r="AE38" s="23" t="s">
        <v>175</v>
      </c>
      <c r="AF38" s="80">
        <v>1.5</v>
      </c>
      <c r="AG38" s="128">
        <f t="shared" si="2"/>
        <v>11.049999999999999</v>
      </c>
      <c r="AH38" s="87">
        <f t="shared" si="3"/>
        <v>81.851851851851848</v>
      </c>
      <c r="AI38" s="262"/>
      <c r="AJ38" s="20"/>
    </row>
    <row r="39" spans="1:36" ht="14" x14ac:dyDescent="0.3">
      <c r="A39" s="20" t="s">
        <v>126</v>
      </c>
      <c r="B39" s="202" t="s">
        <v>50</v>
      </c>
      <c r="C39" s="197">
        <v>1</v>
      </c>
      <c r="D39" s="76" t="s">
        <v>174</v>
      </c>
      <c r="E39" s="77">
        <v>0</v>
      </c>
      <c r="F39" s="83">
        <f t="shared" si="0"/>
        <v>0</v>
      </c>
      <c r="G39" s="79">
        <v>0</v>
      </c>
      <c r="H39" s="80">
        <v>0</v>
      </c>
      <c r="I39" s="76" t="s">
        <v>174</v>
      </c>
      <c r="J39" s="77">
        <v>0</v>
      </c>
      <c r="K39" s="79">
        <v>0</v>
      </c>
      <c r="L39" s="80">
        <v>0</v>
      </c>
      <c r="M39" s="85" t="s">
        <v>174</v>
      </c>
      <c r="N39" s="82">
        <v>0</v>
      </c>
      <c r="O39" s="76" t="s">
        <v>208</v>
      </c>
      <c r="P39" s="79">
        <v>1</v>
      </c>
      <c r="Q39" s="80">
        <v>0</v>
      </c>
      <c r="R39" s="85" t="s">
        <v>174</v>
      </c>
      <c r="S39" s="198">
        <v>0</v>
      </c>
      <c r="T39" s="199">
        <f t="shared" si="1"/>
        <v>0</v>
      </c>
      <c r="U39" s="81">
        <v>0</v>
      </c>
      <c r="V39" s="82">
        <v>0</v>
      </c>
      <c r="W39" s="76" t="s">
        <v>174</v>
      </c>
      <c r="X39" s="84">
        <v>0</v>
      </c>
      <c r="Y39" s="79">
        <v>0</v>
      </c>
      <c r="Z39" s="80">
        <v>0</v>
      </c>
      <c r="AA39" s="85" t="s">
        <v>174</v>
      </c>
      <c r="AB39" s="82">
        <v>0</v>
      </c>
      <c r="AC39" s="76" t="s">
        <v>174</v>
      </c>
      <c r="AD39" s="80">
        <v>0</v>
      </c>
      <c r="AE39" s="23" t="s">
        <v>174</v>
      </c>
      <c r="AF39" s="80">
        <v>0</v>
      </c>
      <c r="AG39" s="128">
        <f t="shared" si="2"/>
        <v>1</v>
      </c>
      <c r="AH39" s="87">
        <f t="shared" si="3"/>
        <v>7.4074074074074066</v>
      </c>
      <c r="AI39" s="88"/>
      <c r="AJ39" s="20"/>
    </row>
    <row r="40" spans="1:36" ht="14" x14ac:dyDescent="0.3">
      <c r="A40" s="20" t="s">
        <v>37</v>
      </c>
      <c r="B40" s="197">
        <v>8940</v>
      </c>
      <c r="C40" s="197">
        <v>9</v>
      </c>
      <c r="D40" s="76" t="s">
        <v>174</v>
      </c>
      <c r="E40" s="77">
        <v>0</v>
      </c>
      <c r="F40" s="83">
        <f t="shared" si="0"/>
        <v>0</v>
      </c>
      <c r="G40" s="79">
        <v>0</v>
      </c>
      <c r="H40" s="80">
        <v>0</v>
      </c>
      <c r="I40" s="76" t="s">
        <v>174</v>
      </c>
      <c r="J40" s="77">
        <v>0</v>
      </c>
      <c r="K40" s="79">
        <v>0</v>
      </c>
      <c r="L40" s="80">
        <v>0</v>
      </c>
      <c r="M40" s="85" t="s">
        <v>174</v>
      </c>
      <c r="N40" s="82">
        <v>0</v>
      </c>
      <c r="O40" s="76" t="s">
        <v>210</v>
      </c>
      <c r="P40" s="79">
        <v>0.33</v>
      </c>
      <c r="Q40" s="80">
        <v>0</v>
      </c>
      <c r="R40" s="85" t="s">
        <v>174</v>
      </c>
      <c r="S40" s="198">
        <v>0</v>
      </c>
      <c r="T40" s="199">
        <f t="shared" si="1"/>
        <v>0</v>
      </c>
      <c r="U40" s="81">
        <v>0</v>
      </c>
      <c r="V40" s="82">
        <v>0</v>
      </c>
      <c r="W40" s="76" t="s">
        <v>174</v>
      </c>
      <c r="X40" s="84">
        <v>0</v>
      </c>
      <c r="Y40" s="79">
        <v>0</v>
      </c>
      <c r="Z40" s="80">
        <v>0</v>
      </c>
      <c r="AA40" s="85" t="s">
        <v>174</v>
      </c>
      <c r="AB40" s="82">
        <v>0</v>
      </c>
      <c r="AC40" s="76" t="s">
        <v>174</v>
      </c>
      <c r="AD40" s="80">
        <v>0</v>
      </c>
      <c r="AE40" s="23" t="s">
        <v>175</v>
      </c>
      <c r="AF40" s="80">
        <v>2</v>
      </c>
      <c r="AG40" s="128">
        <f t="shared" si="2"/>
        <v>2.33</v>
      </c>
      <c r="AH40" s="87">
        <f t="shared" si="3"/>
        <v>17.25925925925926</v>
      </c>
      <c r="AI40" s="88"/>
      <c r="AJ40" s="20"/>
    </row>
    <row r="41" spans="1:36" ht="14" x14ac:dyDescent="0.3">
      <c r="A41" s="20" t="s">
        <v>38</v>
      </c>
      <c r="B41" s="197">
        <v>1690</v>
      </c>
      <c r="C41" s="197">
        <v>2</v>
      </c>
      <c r="D41" s="76" t="s">
        <v>174</v>
      </c>
      <c r="E41" s="77">
        <v>0</v>
      </c>
      <c r="F41" s="83">
        <f t="shared" si="0"/>
        <v>0</v>
      </c>
      <c r="G41" s="79">
        <v>0</v>
      </c>
      <c r="H41" s="80">
        <v>0</v>
      </c>
      <c r="I41" s="76" t="s">
        <v>174</v>
      </c>
      <c r="J41" s="77">
        <v>0</v>
      </c>
      <c r="K41" s="79">
        <v>0</v>
      </c>
      <c r="L41" s="80">
        <v>0</v>
      </c>
      <c r="M41" s="85" t="s">
        <v>174</v>
      </c>
      <c r="N41" s="82">
        <v>0</v>
      </c>
      <c r="O41" s="76" t="s">
        <v>208</v>
      </c>
      <c r="P41" s="79">
        <v>1</v>
      </c>
      <c r="Q41" s="80">
        <v>0</v>
      </c>
      <c r="R41" s="85" t="s">
        <v>175</v>
      </c>
      <c r="S41" s="198">
        <v>1</v>
      </c>
      <c r="T41" s="199">
        <f t="shared" si="1"/>
        <v>50</v>
      </c>
      <c r="U41" s="81">
        <v>2</v>
      </c>
      <c r="V41" s="82">
        <v>0.5</v>
      </c>
      <c r="W41" s="76" t="s">
        <v>175</v>
      </c>
      <c r="X41" s="84">
        <v>1</v>
      </c>
      <c r="Y41" s="79">
        <v>1</v>
      </c>
      <c r="Z41" s="80">
        <v>0.1</v>
      </c>
      <c r="AA41" s="85" t="s">
        <v>174</v>
      </c>
      <c r="AB41" s="82">
        <v>0</v>
      </c>
      <c r="AC41" s="76" t="s">
        <v>175</v>
      </c>
      <c r="AD41" s="80">
        <v>0.25</v>
      </c>
      <c r="AE41" s="23" t="s">
        <v>175</v>
      </c>
      <c r="AF41" s="80">
        <v>1.25</v>
      </c>
      <c r="AG41" s="128">
        <f t="shared" si="2"/>
        <v>6.1</v>
      </c>
      <c r="AH41" s="87">
        <f t="shared" si="3"/>
        <v>45.185185185185183</v>
      </c>
      <c r="AI41" s="90"/>
      <c r="AJ41" s="20" t="s">
        <v>272</v>
      </c>
    </row>
    <row r="42" spans="1:36" ht="14" x14ac:dyDescent="0.3">
      <c r="A42" s="20" t="s">
        <v>39</v>
      </c>
      <c r="B42" s="197">
        <v>1230</v>
      </c>
      <c r="C42" s="197">
        <v>2</v>
      </c>
      <c r="D42" s="76" t="s">
        <v>174</v>
      </c>
      <c r="E42" s="77">
        <v>0</v>
      </c>
      <c r="F42" s="83">
        <f t="shared" si="0"/>
        <v>0</v>
      </c>
      <c r="G42" s="79">
        <v>0</v>
      </c>
      <c r="H42" s="80">
        <v>0</v>
      </c>
      <c r="I42" s="76" t="s">
        <v>174</v>
      </c>
      <c r="J42" s="77">
        <v>0</v>
      </c>
      <c r="K42" s="79">
        <v>0</v>
      </c>
      <c r="L42" s="80">
        <v>0</v>
      </c>
      <c r="M42" s="85" t="s">
        <v>174</v>
      </c>
      <c r="N42" s="82">
        <v>0</v>
      </c>
      <c r="O42" s="76" t="s">
        <v>208</v>
      </c>
      <c r="P42" s="79">
        <v>1</v>
      </c>
      <c r="Q42" s="80">
        <v>0</v>
      </c>
      <c r="R42" s="85" t="s">
        <v>174</v>
      </c>
      <c r="S42" s="198">
        <v>0</v>
      </c>
      <c r="T42" s="199">
        <f t="shared" si="1"/>
        <v>0</v>
      </c>
      <c r="U42" s="81">
        <v>0</v>
      </c>
      <c r="V42" s="82">
        <v>0</v>
      </c>
      <c r="W42" s="76" t="s">
        <v>174</v>
      </c>
      <c r="X42" s="84">
        <v>0</v>
      </c>
      <c r="Y42" s="79">
        <v>0</v>
      </c>
      <c r="Z42" s="80">
        <v>0</v>
      </c>
      <c r="AA42" s="85" t="s">
        <v>174</v>
      </c>
      <c r="AB42" s="82">
        <v>0</v>
      </c>
      <c r="AC42" s="76" t="s">
        <v>174</v>
      </c>
      <c r="AD42" s="80">
        <v>0</v>
      </c>
      <c r="AE42" s="23" t="s">
        <v>174</v>
      </c>
      <c r="AF42" s="80">
        <v>0</v>
      </c>
      <c r="AG42" s="128">
        <f t="shared" si="2"/>
        <v>1</v>
      </c>
      <c r="AH42" s="87">
        <f t="shared" si="3"/>
        <v>7.4074074074074066</v>
      </c>
      <c r="AI42" s="88"/>
      <c r="AJ42" s="20"/>
    </row>
    <row r="43" spans="1:36" ht="14" x14ac:dyDescent="0.3">
      <c r="A43" s="20" t="s">
        <v>40</v>
      </c>
      <c r="B43" s="197">
        <v>860</v>
      </c>
      <c r="C43" s="197">
        <v>1</v>
      </c>
      <c r="D43" s="76" t="s">
        <v>174</v>
      </c>
      <c r="E43" s="77">
        <v>0</v>
      </c>
      <c r="F43" s="83">
        <f t="shared" si="0"/>
        <v>0</v>
      </c>
      <c r="G43" s="79">
        <v>0</v>
      </c>
      <c r="H43" s="80">
        <v>0</v>
      </c>
      <c r="I43" s="76" t="s">
        <v>174</v>
      </c>
      <c r="J43" s="77">
        <v>0</v>
      </c>
      <c r="K43" s="79">
        <v>0</v>
      </c>
      <c r="L43" s="80">
        <v>0</v>
      </c>
      <c r="M43" s="85" t="s">
        <v>174</v>
      </c>
      <c r="N43" s="82">
        <v>0</v>
      </c>
      <c r="O43" s="76" t="s">
        <v>208</v>
      </c>
      <c r="P43" s="79">
        <v>1</v>
      </c>
      <c r="Q43" s="80">
        <v>0</v>
      </c>
      <c r="R43" s="85" t="s">
        <v>174</v>
      </c>
      <c r="S43" s="198">
        <v>0</v>
      </c>
      <c r="T43" s="199">
        <f t="shared" si="1"/>
        <v>0</v>
      </c>
      <c r="U43" s="81">
        <v>0</v>
      </c>
      <c r="V43" s="82">
        <v>0</v>
      </c>
      <c r="W43" s="76" t="s">
        <v>174</v>
      </c>
      <c r="X43" s="84">
        <v>0</v>
      </c>
      <c r="Y43" s="79">
        <v>0</v>
      </c>
      <c r="Z43" s="80">
        <v>0</v>
      </c>
      <c r="AA43" s="85" t="s">
        <v>174</v>
      </c>
      <c r="AB43" s="82">
        <v>0</v>
      </c>
      <c r="AC43" s="76" t="s">
        <v>174</v>
      </c>
      <c r="AD43" s="80">
        <v>0</v>
      </c>
      <c r="AE43" s="23" t="s">
        <v>174</v>
      </c>
      <c r="AF43" s="80">
        <v>0</v>
      </c>
      <c r="AG43" s="128">
        <f t="shared" si="2"/>
        <v>1</v>
      </c>
      <c r="AH43" s="87">
        <f t="shared" si="3"/>
        <v>7.4074074074074066</v>
      </c>
      <c r="AI43" s="88"/>
      <c r="AJ43" s="20"/>
    </row>
    <row r="44" spans="1:36" ht="14" x14ac:dyDescent="0.3">
      <c r="A44" s="20" t="s">
        <v>176</v>
      </c>
      <c r="B44" s="197">
        <v>1130</v>
      </c>
      <c r="C44" s="197">
        <v>1</v>
      </c>
      <c r="D44" s="76" t="s">
        <v>174</v>
      </c>
      <c r="E44" s="77">
        <v>0</v>
      </c>
      <c r="F44" s="83">
        <f t="shared" si="0"/>
        <v>0</v>
      </c>
      <c r="G44" s="79">
        <v>0</v>
      </c>
      <c r="H44" s="80">
        <v>0</v>
      </c>
      <c r="I44" s="76" t="s">
        <v>174</v>
      </c>
      <c r="J44" s="77">
        <v>0</v>
      </c>
      <c r="K44" s="79">
        <v>0</v>
      </c>
      <c r="L44" s="80">
        <v>0</v>
      </c>
      <c r="M44" s="85" t="s">
        <v>174</v>
      </c>
      <c r="N44" s="82">
        <v>0</v>
      </c>
      <c r="O44" s="76" t="s">
        <v>210</v>
      </c>
      <c r="P44" s="79">
        <v>0.33</v>
      </c>
      <c r="Q44" s="80">
        <v>0</v>
      </c>
      <c r="R44" s="85" t="s">
        <v>175</v>
      </c>
      <c r="S44" s="198">
        <v>1</v>
      </c>
      <c r="T44" s="199">
        <f t="shared" si="1"/>
        <v>100</v>
      </c>
      <c r="U44" s="81">
        <v>2</v>
      </c>
      <c r="V44" s="82">
        <v>1</v>
      </c>
      <c r="W44" s="76" t="s">
        <v>174</v>
      </c>
      <c r="X44" s="84">
        <v>0</v>
      </c>
      <c r="Y44" s="79">
        <v>0</v>
      </c>
      <c r="Z44" s="80">
        <v>0</v>
      </c>
      <c r="AA44" s="85" t="s">
        <v>174</v>
      </c>
      <c r="AB44" s="82">
        <v>0</v>
      </c>
      <c r="AC44" s="76" t="s">
        <v>174</v>
      </c>
      <c r="AD44" s="80">
        <v>0</v>
      </c>
      <c r="AE44" s="23" t="s">
        <v>175</v>
      </c>
      <c r="AF44" s="80">
        <v>2</v>
      </c>
      <c r="AG44" s="128">
        <f t="shared" si="2"/>
        <v>5.33</v>
      </c>
      <c r="AH44" s="87">
        <f t="shared" si="3"/>
        <v>39.481481481481481</v>
      </c>
      <c r="AI44" s="90"/>
      <c r="AJ44" s="20"/>
    </row>
    <row r="45" spans="1:36" ht="14" x14ac:dyDescent="0.3">
      <c r="A45" s="20" t="s">
        <v>42</v>
      </c>
      <c r="B45" s="206">
        <v>11150</v>
      </c>
      <c r="C45" s="206">
        <v>16</v>
      </c>
      <c r="D45" s="76" t="s">
        <v>175</v>
      </c>
      <c r="E45" s="77">
        <v>1</v>
      </c>
      <c r="F45" s="83">
        <f t="shared" si="0"/>
        <v>6.25</v>
      </c>
      <c r="G45" s="79">
        <v>1</v>
      </c>
      <c r="H45" s="80">
        <v>0</v>
      </c>
      <c r="I45" s="76" t="s">
        <v>175</v>
      </c>
      <c r="J45" s="77">
        <v>1</v>
      </c>
      <c r="K45" s="79">
        <v>1</v>
      </c>
      <c r="L45" s="80">
        <v>0.1</v>
      </c>
      <c r="M45" s="85" t="s">
        <v>174</v>
      </c>
      <c r="N45" s="82">
        <v>0</v>
      </c>
      <c r="O45" s="76" t="s">
        <v>210</v>
      </c>
      <c r="P45" s="79">
        <v>0.33</v>
      </c>
      <c r="Q45" s="80">
        <v>0</v>
      </c>
      <c r="R45" s="85" t="s">
        <v>175</v>
      </c>
      <c r="S45" s="198">
        <v>4</v>
      </c>
      <c r="T45" s="199">
        <f t="shared" si="1"/>
        <v>25</v>
      </c>
      <c r="U45" s="81">
        <v>2</v>
      </c>
      <c r="V45" s="82">
        <v>0.2</v>
      </c>
      <c r="W45" s="76" t="s">
        <v>174</v>
      </c>
      <c r="X45" s="84">
        <v>0</v>
      </c>
      <c r="Y45" s="79">
        <v>0</v>
      </c>
      <c r="Z45" s="80">
        <v>0</v>
      </c>
      <c r="AA45" s="85" t="s">
        <v>174</v>
      </c>
      <c r="AB45" s="82">
        <v>0</v>
      </c>
      <c r="AC45" s="76" t="s">
        <v>174</v>
      </c>
      <c r="AD45" s="80">
        <v>0</v>
      </c>
      <c r="AE45" s="23" t="s">
        <v>174</v>
      </c>
      <c r="AF45" s="80">
        <v>0</v>
      </c>
      <c r="AG45" s="128">
        <f t="shared" si="2"/>
        <v>4.63</v>
      </c>
      <c r="AH45" s="87">
        <f t="shared" si="3"/>
        <v>34.296296296296298</v>
      </c>
      <c r="AI45" s="90"/>
      <c r="AJ45" s="20"/>
    </row>
    <row r="46" spans="1:36" ht="14" x14ac:dyDescent="0.3">
      <c r="A46" s="20" t="s">
        <v>43</v>
      </c>
      <c r="B46" s="197">
        <v>940</v>
      </c>
      <c r="C46" s="197">
        <v>1</v>
      </c>
      <c r="D46" s="76" t="s">
        <v>174</v>
      </c>
      <c r="E46" s="77">
        <v>0</v>
      </c>
      <c r="F46" s="83">
        <f t="shared" si="0"/>
        <v>0</v>
      </c>
      <c r="G46" s="79">
        <v>0</v>
      </c>
      <c r="H46" s="80">
        <v>0</v>
      </c>
      <c r="I46" s="76" t="s">
        <v>174</v>
      </c>
      <c r="J46" s="77">
        <v>0</v>
      </c>
      <c r="K46" s="79">
        <v>0</v>
      </c>
      <c r="L46" s="80">
        <v>0</v>
      </c>
      <c r="M46" s="85" t="s">
        <v>174</v>
      </c>
      <c r="N46" s="82">
        <v>0</v>
      </c>
      <c r="O46" s="76" t="s">
        <v>71</v>
      </c>
      <c r="P46" s="79">
        <v>0.75</v>
      </c>
      <c r="Q46" s="80">
        <v>0</v>
      </c>
      <c r="R46" s="85" t="s">
        <v>174</v>
      </c>
      <c r="S46" s="198">
        <v>0</v>
      </c>
      <c r="T46" s="199">
        <f t="shared" si="1"/>
        <v>0</v>
      </c>
      <c r="U46" s="81">
        <v>0</v>
      </c>
      <c r="V46" s="82">
        <v>0</v>
      </c>
      <c r="W46" s="76" t="s">
        <v>174</v>
      </c>
      <c r="X46" s="84">
        <v>0</v>
      </c>
      <c r="Y46" s="79">
        <v>0</v>
      </c>
      <c r="Z46" s="80">
        <v>0</v>
      </c>
      <c r="AA46" s="85" t="s">
        <v>174</v>
      </c>
      <c r="AB46" s="82">
        <v>0</v>
      </c>
      <c r="AC46" s="76" t="s">
        <v>174</v>
      </c>
      <c r="AD46" s="80">
        <v>0</v>
      </c>
      <c r="AE46" s="23" t="s">
        <v>175</v>
      </c>
      <c r="AF46" s="80">
        <v>0.75</v>
      </c>
      <c r="AG46" s="128">
        <f t="shared" si="2"/>
        <v>1.5</v>
      </c>
      <c r="AH46" s="87">
        <f t="shared" si="3"/>
        <v>11.111111111111111</v>
      </c>
      <c r="AI46" s="88"/>
      <c r="AJ46" s="20"/>
    </row>
    <row r="47" spans="1:36" ht="14" x14ac:dyDescent="0.3">
      <c r="A47" s="20" t="s">
        <v>44</v>
      </c>
      <c r="B47" s="197">
        <v>690</v>
      </c>
      <c r="C47" s="197">
        <v>1</v>
      </c>
      <c r="D47" s="76" t="s">
        <v>174</v>
      </c>
      <c r="E47" s="77">
        <v>0</v>
      </c>
      <c r="F47" s="83">
        <f t="shared" si="0"/>
        <v>0</v>
      </c>
      <c r="G47" s="79">
        <v>0</v>
      </c>
      <c r="H47" s="80">
        <v>0</v>
      </c>
      <c r="I47" s="76" t="s">
        <v>174</v>
      </c>
      <c r="J47" s="77">
        <v>0</v>
      </c>
      <c r="K47" s="79">
        <v>0</v>
      </c>
      <c r="L47" s="80">
        <v>0</v>
      </c>
      <c r="M47" s="85" t="s">
        <v>174</v>
      </c>
      <c r="N47" s="82">
        <v>0</v>
      </c>
      <c r="O47" s="76" t="s">
        <v>209</v>
      </c>
      <c r="P47" s="79">
        <v>0.5</v>
      </c>
      <c r="Q47" s="80">
        <v>0.25</v>
      </c>
      <c r="R47" s="85" t="s">
        <v>174</v>
      </c>
      <c r="S47" s="198">
        <v>0</v>
      </c>
      <c r="T47" s="199">
        <f t="shared" si="1"/>
        <v>0</v>
      </c>
      <c r="U47" s="81">
        <v>0</v>
      </c>
      <c r="V47" s="82">
        <v>0</v>
      </c>
      <c r="W47" s="76" t="s">
        <v>174</v>
      </c>
      <c r="X47" s="84">
        <v>0</v>
      </c>
      <c r="Y47" s="79">
        <v>0</v>
      </c>
      <c r="Z47" s="80">
        <v>0</v>
      </c>
      <c r="AA47" s="85" t="s">
        <v>174</v>
      </c>
      <c r="AB47" s="82">
        <v>0</v>
      </c>
      <c r="AC47" s="76" t="s">
        <v>174</v>
      </c>
      <c r="AD47" s="80">
        <v>0</v>
      </c>
      <c r="AE47" s="23" t="s">
        <v>175</v>
      </c>
      <c r="AF47" s="80">
        <v>2</v>
      </c>
      <c r="AG47" s="128">
        <f t="shared" si="2"/>
        <v>2.75</v>
      </c>
      <c r="AH47" s="87">
        <f t="shared" si="3"/>
        <v>20.37037037037037</v>
      </c>
      <c r="AI47" s="88"/>
      <c r="AJ47" s="20"/>
    </row>
    <row r="48" spans="1:36" ht="14" x14ac:dyDescent="0.3">
      <c r="A48" s="20" t="s">
        <v>45</v>
      </c>
      <c r="B48" s="197">
        <v>1080</v>
      </c>
      <c r="C48" s="197">
        <v>2</v>
      </c>
      <c r="D48" s="76" t="s">
        <v>174</v>
      </c>
      <c r="E48" s="77">
        <v>0</v>
      </c>
      <c r="F48" s="83">
        <f t="shared" si="0"/>
        <v>0</v>
      </c>
      <c r="G48" s="79">
        <v>0</v>
      </c>
      <c r="H48" s="80">
        <v>0</v>
      </c>
      <c r="I48" s="76" t="s">
        <v>174</v>
      </c>
      <c r="J48" s="77">
        <v>0</v>
      </c>
      <c r="K48" s="79">
        <v>0</v>
      </c>
      <c r="L48" s="80">
        <v>0</v>
      </c>
      <c r="M48" s="85" t="s">
        <v>174</v>
      </c>
      <c r="N48" s="82">
        <v>0</v>
      </c>
      <c r="O48" s="76" t="s">
        <v>107</v>
      </c>
      <c r="P48" s="79">
        <v>0.25</v>
      </c>
      <c r="Q48" s="80">
        <v>0.25</v>
      </c>
      <c r="R48" s="85" t="s">
        <v>175</v>
      </c>
      <c r="S48" s="198">
        <v>1</v>
      </c>
      <c r="T48" s="199">
        <f t="shared" si="1"/>
        <v>50</v>
      </c>
      <c r="U48" s="81">
        <v>2</v>
      </c>
      <c r="V48" s="82">
        <v>0.5</v>
      </c>
      <c r="W48" s="76" t="s">
        <v>174</v>
      </c>
      <c r="X48" s="84">
        <v>0</v>
      </c>
      <c r="Y48" s="79">
        <v>0</v>
      </c>
      <c r="Z48" s="80">
        <v>0</v>
      </c>
      <c r="AA48" s="85" t="s">
        <v>174</v>
      </c>
      <c r="AB48" s="82">
        <v>0</v>
      </c>
      <c r="AC48" s="76" t="s">
        <v>174</v>
      </c>
      <c r="AD48" s="80">
        <v>0</v>
      </c>
      <c r="AE48" s="23" t="s">
        <v>175</v>
      </c>
      <c r="AF48" s="80">
        <v>2</v>
      </c>
      <c r="AG48" s="128">
        <f t="shared" si="2"/>
        <v>5</v>
      </c>
      <c r="AH48" s="87">
        <f t="shared" si="3"/>
        <v>37.037037037037038</v>
      </c>
      <c r="AI48" s="90"/>
      <c r="AJ48" s="20"/>
    </row>
    <row r="49" spans="1:36" ht="14" x14ac:dyDescent="0.3">
      <c r="A49" s="20" t="s">
        <v>173</v>
      </c>
      <c r="B49" s="202" t="s">
        <v>50</v>
      </c>
      <c r="C49" s="197">
        <v>1</v>
      </c>
      <c r="D49" s="76" t="s">
        <v>174</v>
      </c>
      <c r="E49" s="77">
        <v>1</v>
      </c>
      <c r="F49" s="83">
        <f t="shared" si="0"/>
        <v>100</v>
      </c>
      <c r="G49" s="79">
        <v>1</v>
      </c>
      <c r="H49" s="80">
        <v>1</v>
      </c>
      <c r="I49" s="76" t="s">
        <v>174</v>
      </c>
      <c r="J49" s="77">
        <v>0</v>
      </c>
      <c r="K49" s="79">
        <v>0</v>
      </c>
      <c r="L49" s="80">
        <v>0</v>
      </c>
      <c r="M49" s="85" t="s">
        <v>174</v>
      </c>
      <c r="N49" s="82">
        <v>0</v>
      </c>
      <c r="O49" s="76" t="s">
        <v>107</v>
      </c>
      <c r="P49" s="79">
        <v>0.25</v>
      </c>
      <c r="Q49" s="80">
        <v>0.25</v>
      </c>
      <c r="R49" s="85" t="s">
        <v>174</v>
      </c>
      <c r="S49" s="198">
        <v>0</v>
      </c>
      <c r="T49" s="199">
        <f t="shared" si="1"/>
        <v>0</v>
      </c>
      <c r="U49" s="81">
        <v>0</v>
      </c>
      <c r="V49" s="82">
        <v>0</v>
      </c>
      <c r="W49" s="76" t="s">
        <v>174</v>
      </c>
      <c r="X49" s="84">
        <v>0</v>
      </c>
      <c r="Y49" s="79">
        <v>0</v>
      </c>
      <c r="Z49" s="80">
        <v>0</v>
      </c>
      <c r="AA49" s="85" t="s">
        <v>174</v>
      </c>
      <c r="AB49" s="82">
        <v>0</v>
      </c>
      <c r="AC49" s="76" t="s">
        <v>174</v>
      </c>
      <c r="AD49" s="80">
        <v>0</v>
      </c>
      <c r="AE49" s="23" t="s">
        <v>175</v>
      </c>
      <c r="AF49" s="80">
        <v>2</v>
      </c>
      <c r="AG49" s="128">
        <f t="shared" si="2"/>
        <v>4.5</v>
      </c>
      <c r="AH49" s="87">
        <f t="shared" si="3"/>
        <v>33.333333333333329</v>
      </c>
      <c r="AI49" s="90"/>
      <c r="AJ49" s="20"/>
    </row>
    <row r="50" spans="1:36" ht="14" x14ac:dyDescent="0.3">
      <c r="A50" s="20" t="s">
        <v>46</v>
      </c>
      <c r="B50" s="197">
        <v>4700</v>
      </c>
      <c r="C50" s="197">
        <v>7</v>
      </c>
      <c r="D50" s="76" t="s">
        <v>175</v>
      </c>
      <c r="E50" s="77">
        <v>1</v>
      </c>
      <c r="F50" s="83">
        <f t="shared" si="0"/>
        <v>14.285714285714285</v>
      </c>
      <c r="G50" s="79">
        <v>1</v>
      </c>
      <c r="H50" s="80">
        <v>0.1</v>
      </c>
      <c r="I50" s="76" t="s">
        <v>174</v>
      </c>
      <c r="J50" s="77">
        <v>0</v>
      </c>
      <c r="K50" s="79">
        <v>0</v>
      </c>
      <c r="L50" s="80">
        <v>0</v>
      </c>
      <c r="M50" s="85" t="s">
        <v>174</v>
      </c>
      <c r="N50" s="82">
        <v>0</v>
      </c>
      <c r="O50" s="76" t="s">
        <v>107</v>
      </c>
      <c r="P50" s="79">
        <v>0.25</v>
      </c>
      <c r="Q50" s="80">
        <v>0.25</v>
      </c>
      <c r="R50" s="85" t="s">
        <v>175</v>
      </c>
      <c r="S50" s="198">
        <v>1</v>
      </c>
      <c r="T50" s="199">
        <f t="shared" si="1"/>
        <v>14.285714285714285</v>
      </c>
      <c r="U50" s="81">
        <v>2</v>
      </c>
      <c r="V50" s="82">
        <v>0.1</v>
      </c>
      <c r="W50" s="76" t="s">
        <v>174</v>
      </c>
      <c r="X50" s="84">
        <v>0</v>
      </c>
      <c r="Y50" s="79">
        <v>0</v>
      </c>
      <c r="Z50" s="80">
        <v>0</v>
      </c>
      <c r="AA50" s="85" t="s">
        <v>174</v>
      </c>
      <c r="AB50" s="82">
        <v>0</v>
      </c>
      <c r="AC50" s="76" t="s">
        <v>175</v>
      </c>
      <c r="AD50" s="80">
        <v>0.25</v>
      </c>
      <c r="AE50" s="23" t="s">
        <v>174</v>
      </c>
      <c r="AF50" s="80">
        <v>0</v>
      </c>
      <c r="AG50" s="128">
        <f t="shared" si="2"/>
        <v>3.95</v>
      </c>
      <c r="AH50" s="87">
        <f t="shared" si="3"/>
        <v>29.259259259259263</v>
      </c>
      <c r="AI50" s="90"/>
      <c r="AJ50" s="20"/>
    </row>
    <row r="51" spans="1:36" ht="14" x14ac:dyDescent="0.3">
      <c r="A51" s="20" t="s">
        <v>47</v>
      </c>
      <c r="B51" s="197">
        <v>12110</v>
      </c>
      <c r="C51" s="197">
        <v>16</v>
      </c>
      <c r="D51" s="76" t="s">
        <v>174</v>
      </c>
      <c r="E51" s="77">
        <v>0</v>
      </c>
      <c r="F51" s="83">
        <f t="shared" si="0"/>
        <v>0</v>
      </c>
      <c r="G51" s="79">
        <v>0</v>
      </c>
      <c r="H51" s="80">
        <v>0</v>
      </c>
      <c r="I51" s="76" t="s">
        <v>174</v>
      </c>
      <c r="J51" s="77">
        <v>0</v>
      </c>
      <c r="K51" s="79">
        <v>0</v>
      </c>
      <c r="L51" s="80">
        <v>0</v>
      </c>
      <c r="M51" s="85" t="s">
        <v>174</v>
      </c>
      <c r="N51" s="82">
        <v>0</v>
      </c>
      <c r="O51" s="76" t="s">
        <v>106</v>
      </c>
      <c r="P51" s="79">
        <v>0.67</v>
      </c>
      <c r="Q51" s="80">
        <v>0</v>
      </c>
      <c r="R51" s="85" t="s">
        <v>175</v>
      </c>
      <c r="S51" s="198">
        <v>2</v>
      </c>
      <c r="T51" s="199">
        <f t="shared" si="1"/>
        <v>12.5</v>
      </c>
      <c r="U51" s="81">
        <v>2</v>
      </c>
      <c r="V51" s="82">
        <v>0.1</v>
      </c>
      <c r="W51" s="76" t="s">
        <v>174</v>
      </c>
      <c r="X51" s="84">
        <v>0</v>
      </c>
      <c r="Y51" s="79">
        <v>0</v>
      </c>
      <c r="Z51" s="80">
        <v>0</v>
      </c>
      <c r="AA51" s="85" t="s">
        <v>174</v>
      </c>
      <c r="AB51" s="82">
        <v>0</v>
      </c>
      <c r="AC51" s="76" t="s">
        <v>174</v>
      </c>
      <c r="AD51" s="80">
        <v>0</v>
      </c>
      <c r="AE51" s="23" t="s">
        <v>175</v>
      </c>
      <c r="AF51" s="80">
        <v>1.5</v>
      </c>
      <c r="AG51" s="128">
        <f t="shared" si="2"/>
        <v>4.2699999999999996</v>
      </c>
      <c r="AH51" s="87">
        <f t="shared" si="3"/>
        <v>31.629629629629623</v>
      </c>
      <c r="AI51" s="90"/>
      <c r="AJ51" s="20"/>
    </row>
    <row r="52" spans="1:36" ht="14.5" thickBot="1" x14ac:dyDescent="0.35">
      <c r="A52" s="20" t="s">
        <v>48</v>
      </c>
      <c r="B52" s="207">
        <v>990</v>
      </c>
      <c r="C52" s="207">
        <v>1</v>
      </c>
      <c r="D52" s="96" t="s">
        <v>174</v>
      </c>
      <c r="E52" s="97">
        <v>0</v>
      </c>
      <c r="F52" s="103">
        <f t="shared" si="0"/>
        <v>0</v>
      </c>
      <c r="G52" s="99">
        <v>0</v>
      </c>
      <c r="H52" s="100">
        <v>0</v>
      </c>
      <c r="I52" s="96" t="s">
        <v>174</v>
      </c>
      <c r="J52" s="97">
        <v>0</v>
      </c>
      <c r="K52" s="99">
        <v>0</v>
      </c>
      <c r="L52" s="100">
        <v>0</v>
      </c>
      <c r="M52" s="105" t="s">
        <v>174</v>
      </c>
      <c r="N52" s="102">
        <v>0</v>
      </c>
      <c r="O52" s="96" t="s">
        <v>208</v>
      </c>
      <c r="P52" s="99">
        <v>1</v>
      </c>
      <c r="Q52" s="100">
        <v>0</v>
      </c>
      <c r="R52" s="105" t="s">
        <v>175</v>
      </c>
      <c r="S52" s="208">
        <v>1</v>
      </c>
      <c r="T52" s="209">
        <f t="shared" si="1"/>
        <v>100</v>
      </c>
      <c r="U52" s="101">
        <v>2</v>
      </c>
      <c r="V52" s="102">
        <v>1</v>
      </c>
      <c r="W52" s="96" t="s">
        <v>174</v>
      </c>
      <c r="X52" s="104">
        <v>0</v>
      </c>
      <c r="Y52" s="99">
        <v>0</v>
      </c>
      <c r="Z52" s="100">
        <v>0</v>
      </c>
      <c r="AA52" s="105" t="s">
        <v>174</v>
      </c>
      <c r="AB52" s="102">
        <v>0</v>
      </c>
      <c r="AC52" s="96" t="s">
        <v>174</v>
      </c>
      <c r="AD52" s="100">
        <v>0</v>
      </c>
      <c r="AE52" s="26" t="s">
        <v>175</v>
      </c>
      <c r="AF52" s="100">
        <v>0.75</v>
      </c>
      <c r="AG52" s="210">
        <f t="shared" si="2"/>
        <v>4.75</v>
      </c>
      <c r="AH52" s="107">
        <f t="shared" si="3"/>
        <v>35.185185185185183</v>
      </c>
      <c r="AI52" s="211"/>
      <c r="AJ52" s="20"/>
    </row>
    <row r="53" spans="1:36" ht="11" customHeight="1" x14ac:dyDescent="0.3">
      <c r="A53" s="14"/>
      <c r="B53" s="19"/>
      <c r="C53" s="19"/>
    </row>
    <row r="54" spans="1:36" ht="14" x14ac:dyDescent="0.3">
      <c r="A54" s="212"/>
      <c r="B54" s="354" t="s">
        <v>245</v>
      </c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</row>
    <row r="55" spans="1:36" ht="14" x14ac:dyDescent="0.3">
      <c r="A55" s="139" t="s">
        <v>117</v>
      </c>
      <c r="B55" s="458" t="s">
        <v>246</v>
      </c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60"/>
    </row>
    <row r="56" spans="1:36" ht="14" x14ac:dyDescent="0.3">
      <c r="A56" s="52"/>
      <c r="B56" s="353" t="s">
        <v>315</v>
      </c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</row>
    <row r="57" spans="1:36" ht="14" x14ac:dyDescent="0.3">
      <c r="A57" s="53"/>
      <c r="B57" s="353" t="s">
        <v>312</v>
      </c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</row>
    <row r="58" spans="1:36" ht="14" x14ac:dyDescent="0.3">
      <c r="A58" s="54"/>
      <c r="B58" s="353" t="s">
        <v>313</v>
      </c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</row>
    <row r="59" spans="1:36" ht="14" x14ac:dyDescent="0.3">
      <c r="A59" s="55"/>
      <c r="B59" s="353" t="s">
        <v>314</v>
      </c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</row>
    <row r="60" spans="1:36" ht="14" x14ac:dyDescent="0.3">
      <c r="A60" s="56"/>
      <c r="B60" s="353" t="s">
        <v>316</v>
      </c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</row>
  </sheetData>
  <mergeCells count="13">
    <mergeCell ref="AJ3:AJ4"/>
    <mergeCell ref="D3:Q3"/>
    <mergeCell ref="AI3:AI4"/>
    <mergeCell ref="AG3:AG4"/>
    <mergeCell ref="AH3:AH4"/>
    <mergeCell ref="R3:AF3"/>
    <mergeCell ref="B60:P60"/>
    <mergeCell ref="B55:P55"/>
    <mergeCell ref="B54:P54"/>
    <mergeCell ref="B56:P56"/>
    <mergeCell ref="B57:P57"/>
    <mergeCell ref="B58:P58"/>
    <mergeCell ref="B59:P59"/>
  </mergeCells>
  <conditionalFormatting sqref="AH6:AH52">
    <cfRule type="cellIs" dxfId="4" priority="1" operator="between">
      <formula>75</formula>
      <formula>100</formula>
    </cfRule>
    <cfRule type="cellIs" dxfId="3" priority="2" operator="between">
      <formula>56</formula>
      <formula>74.99</formula>
    </cfRule>
    <cfRule type="cellIs" dxfId="2" priority="3" operator="between">
      <formula>45</formula>
      <formula>55.99</formula>
    </cfRule>
    <cfRule type="cellIs" dxfId="1" priority="4" operator="between">
      <formula>25.01</formula>
      <formula>44.99</formula>
    </cfRule>
    <cfRule type="cellIs" dxfId="0" priority="5" operator="between">
      <formula>0</formula>
      <formula>25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Findings</vt:lpstr>
      <vt:lpstr>Risk Criteria</vt:lpstr>
      <vt:lpstr>Risk Scores</vt:lpstr>
      <vt:lpstr>Availability Criteria</vt:lpstr>
      <vt:lpstr>Availability Scores</vt:lpstr>
      <vt:lpstr>Harm Criteria</vt:lpstr>
      <vt:lpstr>Harm Scores</vt:lpstr>
    </vt:vector>
  </TitlesOfParts>
  <Company>Aberdeenshire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Overprovision scoring matrix</dc:title>
  <dc:creator>Clark Simpson</dc:creator>
  <cp:lastModifiedBy>Lora Panayotova</cp:lastModifiedBy>
  <dcterms:created xsi:type="dcterms:W3CDTF">2023-09-21T14:30:34Z</dcterms:created>
  <dcterms:modified xsi:type="dcterms:W3CDTF">2024-03-01T14:57:58Z</dcterms:modified>
</cp:coreProperties>
</file>